
<file path=[Content_Types].xml><?xml version="1.0" encoding="utf-8"?>
<Types xmlns="http://schemas.openxmlformats.org/package/2006/content-types">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heets/sheet9.xml" ContentType="application/vnd.openxmlformats-officedocument.spreadsheetml.chart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drawings/drawing1.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chartsheets/sheet5.xml" ContentType="application/vnd.openxmlformats-officedocument.spreadsheetml.chartsheet+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charts/chart8.xml" ContentType="application/vnd.openxmlformats-officedocument.drawingml.chart+xml"/>
  <Override PartName="/xl/charts/chart9.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drawings/drawing9.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5920" windowHeight="7500" firstSheet="13" activeTab="13"/>
  </bookViews>
  <sheets>
    <sheet name="Cycle Report" sheetId="17" r:id="rId1"/>
    <sheet name="Acreage" sheetId="25" r:id="rId2"/>
    <sheet name="Acreage Chart" sheetId="27" r:id="rId3"/>
    <sheet name="Yield" sheetId="26" r:id="rId4"/>
    <sheet name="Yield Chart" sheetId="28" r:id="rId5"/>
    <sheet name="Estimate" sheetId="2" r:id="rId6"/>
    <sheet name="Canada Production" sheetId="12" r:id="rId7"/>
    <sheet name="Canada Production Chart" sheetId="24" r:id="rId8"/>
    <sheet name="USDA Purchases Chart" sheetId="22" r:id="rId9"/>
    <sheet name="Sales" sheetId="7" r:id="rId10"/>
    <sheet name="Fresh Sales Chart" sheetId="30" r:id="rId11"/>
    <sheet name="Processed Sales Chart" sheetId="23" r:id="rId12"/>
    <sheet name="Impact of Handler Withhold " sheetId="31" r:id="rId13"/>
    <sheet name="total available supply and Sale" sheetId="6" r:id="rId14"/>
    <sheet name="Tot. Supply vs Tot. Sales Chart" sheetId="18" r:id="rId15"/>
    <sheet name="Carryin Inventories Chart" sheetId="19" r:id="rId16"/>
    <sheet name="CarryOut as % Sales Chart" sheetId="20" r:id="rId17"/>
    <sheet name="Marketing Policy" sheetId="3" r:id="rId18"/>
    <sheet name="Impact of Producer Allotment" sheetId="32" r:id="rId19"/>
    <sheet name="Marketing Policy w Regulation" sheetId="35" r:id="rId20"/>
    <sheet name="Marketing Policy 2019" sheetId="37" r:id="rId21"/>
    <sheet name="Results of Allotment" sheetId="15" state="hidden" r:id="rId22"/>
  </sheets>
  <definedNames>
    <definedName name="_xlnm.Print_Area" localSheetId="0">'Cycle Report'!$A$1:$M$362</definedName>
    <definedName name="_xlnm.Print_Area" localSheetId="5">Estimate!$B$1:$D$40</definedName>
    <definedName name="_xlnm.Print_Area" localSheetId="20">'Marketing Policy 2019'!$B$1:$O$34</definedName>
    <definedName name="_xlnm.Print_Area" localSheetId="9">Sales!$A$1:$H$39</definedName>
    <definedName name="_xlnm.Print_Area" localSheetId="13">'total available supply and Sale'!$A$1:$L$37</definedName>
  </definedNames>
  <calcPr calcId="125725"/>
  <fileRecoveryPr autoRecover="0"/>
</workbook>
</file>

<file path=xl/calcChain.xml><?xml version="1.0" encoding="utf-8"?>
<calcChain xmlns="http://schemas.openxmlformats.org/spreadsheetml/2006/main">
  <c r="C10" i="32"/>
  <c r="F29" i="12" l="1"/>
  <c r="F28"/>
  <c r="E27"/>
  <c r="F27" s="1"/>
  <c r="C27"/>
  <c r="G26" i="6" l="1"/>
  <c r="G25"/>
  <c r="G24"/>
  <c r="G23"/>
  <c r="E26"/>
  <c r="E25"/>
  <c r="E24"/>
  <c r="E23"/>
  <c r="D26"/>
  <c r="D25"/>
  <c r="D24"/>
  <c r="D23"/>
  <c r="I362" i="17"/>
  <c r="H362"/>
  <c r="G362"/>
  <c r="G357"/>
  <c r="G353"/>
  <c r="G349"/>
  <c r="G347"/>
  <c r="F362"/>
  <c r="E362"/>
  <c r="F359"/>
  <c r="E359"/>
  <c r="D359"/>
  <c r="C359"/>
  <c r="F357"/>
  <c r="E357"/>
  <c r="D357"/>
  <c r="C357"/>
  <c r="F353"/>
  <c r="E353"/>
  <c r="D353"/>
  <c r="C353"/>
  <c r="F350"/>
  <c r="F354" s="1"/>
  <c r="E350"/>
  <c r="E354" s="1"/>
  <c r="D350"/>
  <c r="D354" s="1"/>
  <c r="C350"/>
  <c r="C354" s="1"/>
  <c r="F349"/>
  <c r="E349"/>
  <c r="D349"/>
  <c r="C349"/>
  <c r="F347"/>
  <c r="E347"/>
  <c r="D347"/>
  <c r="C347"/>
  <c r="F344"/>
  <c r="E344"/>
  <c r="D344"/>
  <c r="C344"/>
  <c r="F336"/>
  <c r="E336"/>
  <c r="D336"/>
  <c r="C336"/>
  <c r="F325"/>
  <c r="F327" s="1"/>
  <c r="F329" s="1"/>
  <c r="E325"/>
  <c r="D325"/>
  <c r="C325"/>
  <c r="F321"/>
  <c r="F322" s="1"/>
  <c r="E321"/>
  <c r="E322" s="1"/>
  <c r="D321"/>
  <c r="C321"/>
  <c r="F310"/>
  <c r="C26" i="6" s="1"/>
  <c r="E310" i="17"/>
  <c r="C25" i="6" s="1"/>
  <c r="D310" i="17"/>
  <c r="C24" i="6" s="1"/>
  <c r="C310" i="17"/>
  <c r="C23" i="6" s="1"/>
  <c r="F299" i="17"/>
  <c r="F301" s="1"/>
  <c r="B26" i="6" s="1"/>
  <c r="E299" i="17"/>
  <c r="E301" s="1"/>
  <c r="B25" i="6" s="1"/>
  <c r="D299" i="17"/>
  <c r="D301" s="1"/>
  <c r="B24" i="6" s="1"/>
  <c r="C299" i="17"/>
  <c r="C301" s="1"/>
  <c r="B23" i="6" s="1"/>
  <c r="F288" i="17"/>
  <c r="F289" s="1"/>
  <c r="E288"/>
  <c r="E289" s="1"/>
  <c r="D288"/>
  <c r="C288"/>
  <c r="F277"/>
  <c r="E277"/>
  <c r="D277"/>
  <c r="C277"/>
  <c r="F273"/>
  <c r="F274" s="1"/>
  <c r="E273"/>
  <c r="E274" s="1"/>
  <c r="D273"/>
  <c r="C273"/>
  <c r="F265"/>
  <c r="E265"/>
  <c r="D262"/>
  <c r="D265" s="1"/>
  <c r="C262"/>
  <c r="C265" s="1"/>
  <c r="F251"/>
  <c r="F253" s="1"/>
  <c r="E251"/>
  <c r="E253" s="1"/>
  <c r="D251"/>
  <c r="D253" s="1"/>
  <c r="C251"/>
  <c r="C253" s="1"/>
  <c r="F239"/>
  <c r="E239"/>
  <c r="D239"/>
  <c r="C239"/>
  <c r="F228"/>
  <c r="E228"/>
  <c r="D228"/>
  <c r="C228"/>
  <c r="C230" s="1"/>
  <c r="C232" s="1"/>
  <c r="F224"/>
  <c r="F225" s="1"/>
  <c r="E224"/>
  <c r="D224"/>
  <c r="C224"/>
  <c r="F213"/>
  <c r="F216" s="1"/>
  <c r="F217" s="1"/>
  <c r="E213"/>
  <c r="E216" s="1"/>
  <c r="D213"/>
  <c r="D216" s="1"/>
  <c r="C213"/>
  <c r="C216" s="1"/>
  <c r="F202"/>
  <c r="F204" s="1"/>
  <c r="E202"/>
  <c r="E204" s="1"/>
  <c r="D202"/>
  <c r="D204" s="1"/>
  <c r="C202"/>
  <c r="C204" s="1"/>
  <c r="F191"/>
  <c r="F192" s="1"/>
  <c r="E191"/>
  <c r="D191"/>
  <c r="C191"/>
  <c r="F180"/>
  <c r="E180"/>
  <c r="D180"/>
  <c r="C180"/>
  <c r="C182" s="1"/>
  <c r="C184" s="1"/>
  <c r="F176"/>
  <c r="F177" s="1"/>
  <c r="E176"/>
  <c r="D176"/>
  <c r="C176"/>
  <c r="F165"/>
  <c r="F168" s="1"/>
  <c r="F169" s="1"/>
  <c r="E165"/>
  <c r="E168" s="1"/>
  <c r="D165"/>
  <c r="D168" s="1"/>
  <c r="C165"/>
  <c r="C168" s="1"/>
  <c r="F154"/>
  <c r="F156" s="1"/>
  <c r="E154"/>
  <c r="E156" s="1"/>
  <c r="D154"/>
  <c r="D156" s="1"/>
  <c r="C154"/>
  <c r="C156" s="1"/>
  <c r="F142"/>
  <c r="E142"/>
  <c r="D142"/>
  <c r="C142"/>
  <c r="F131"/>
  <c r="E131"/>
  <c r="D131"/>
  <c r="C131"/>
  <c r="C133" s="1"/>
  <c r="C135" s="1"/>
  <c r="F127"/>
  <c r="F128" s="1"/>
  <c r="E127"/>
  <c r="D127"/>
  <c r="C127"/>
  <c r="F116"/>
  <c r="E116"/>
  <c r="D116"/>
  <c r="C116"/>
  <c r="F105"/>
  <c r="F107" s="1"/>
  <c r="E105"/>
  <c r="E107" s="1"/>
  <c r="D105"/>
  <c r="D107" s="1"/>
  <c r="C105"/>
  <c r="C107" s="1"/>
  <c r="F94"/>
  <c r="F95" s="1"/>
  <c r="E94"/>
  <c r="D94"/>
  <c r="C94"/>
  <c r="F83"/>
  <c r="E83"/>
  <c r="D83"/>
  <c r="C83"/>
  <c r="C85" s="1"/>
  <c r="C87" s="1"/>
  <c r="F79"/>
  <c r="E79"/>
  <c r="D79"/>
  <c r="C79"/>
  <c r="F68"/>
  <c r="F71" s="1"/>
  <c r="F72" s="1"/>
  <c r="E68"/>
  <c r="E71" s="1"/>
  <c r="D68"/>
  <c r="D71" s="1"/>
  <c r="C68"/>
  <c r="C71" s="1"/>
  <c r="F57"/>
  <c r="F59" s="1"/>
  <c r="E57"/>
  <c r="E59" s="1"/>
  <c r="D57"/>
  <c r="D59" s="1"/>
  <c r="C57"/>
  <c r="C59" s="1"/>
  <c r="F46"/>
  <c r="F47" s="1"/>
  <c r="E46"/>
  <c r="D46"/>
  <c r="C46"/>
  <c r="F35"/>
  <c r="E35"/>
  <c r="D35"/>
  <c r="C35"/>
  <c r="F31"/>
  <c r="F32" s="1"/>
  <c r="E31"/>
  <c r="D31"/>
  <c r="C31"/>
  <c r="F20"/>
  <c r="E20"/>
  <c r="D20"/>
  <c r="C20"/>
  <c r="F9"/>
  <c r="F11" s="1"/>
  <c r="E9"/>
  <c r="E11" s="1"/>
  <c r="D9"/>
  <c r="D11" s="1"/>
  <c r="C9"/>
  <c r="C11" s="1"/>
  <c r="E47" l="1"/>
  <c r="E80"/>
  <c r="E95"/>
  <c r="E128"/>
  <c r="E177"/>
  <c r="E192"/>
  <c r="E225"/>
  <c r="D274"/>
  <c r="D289"/>
  <c r="D322"/>
  <c r="F279"/>
  <c r="F281" s="1"/>
  <c r="F37"/>
  <c r="F39" s="1"/>
  <c r="F40" s="1"/>
  <c r="F80"/>
  <c r="F85"/>
  <c r="F87" s="1"/>
  <c r="F133"/>
  <c r="F135" s="1"/>
  <c r="F182"/>
  <c r="F184" s="1"/>
  <c r="F230"/>
  <c r="F232" s="1"/>
  <c r="E279"/>
  <c r="E281" s="1"/>
  <c r="E327"/>
  <c r="G181"/>
  <c r="C37"/>
  <c r="C39" s="1"/>
  <c r="D32"/>
  <c r="D37"/>
  <c r="D39" s="1"/>
  <c r="D40" s="1"/>
  <c r="D47"/>
  <c r="D72"/>
  <c r="D80"/>
  <c r="D85"/>
  <c r="D87" s="1"/>
  <c r="D88" s="1"/>
  <c r="D95"/>
  <c r="D128"/>
  <c r="D133"/>
  <c r="D135" s="1"/>
  <c r="D136" s="1"/>
  <c r="D169"/>
  <c r="D177"/>
  <c r="D182"/>
  <c r="D184" s="1"/>
  <c r="D185" s="1"/>
  <c r="D192"/>
  <c r="D217"/>
  <c r="D225"/>
  <c r="D230"/>
  <c r="D232" s="1"/>
  <c r="D233" s="1"/>
  <c r="C279"/>
  <c r="C281" s="1"/>
  <c r="C327"/>
  <c r="E32"/>
  <c r="E37"/>
  <c r="E39" s="1"/>
  <c r="E40" s="1"/>
  <c r="E85"/>
  <c r="E87" s="1"/>
  <c r="E133"/>
  <c r="E135" s="1"/>
  <c r="E145" s="1"/>
  <c r="E182"/>
  <c r="E184" s="1"/>
  <c r="E193" s="1"/>
  <c r="E230"/>
  <c r="E232" s="1"/>
  <c r="E241" s="1"/>
  <c r="D279"/>
  <c r="D281" s="1"/>
  <c r="D327"/>
  <c r="F26" i="6"/>
  <c r="D108" i="17"/>
  <c r="D193"/>
  <c r="D157"/>
  <c r="C290"/>
  <c r="F12"/>
  <c r="F96"/>
  <c r="F60"/>
  <c r="F108"/>
  <c r="F157"/>
  <c r="F241"/>
  <c r="F205"/>
  <c r="F254"/>
  <c r="F290"/>
  <c r="E302"/>
  <c r="C242"/>
  <c r="F145"/>
  <c r="F242"/>
  <c r="C96"/>
  <c r="C193"/>
  <c r="C241"/>
  <c r="E12"/>
  <c r="E96"/>
  <c r="E60"/>
  <c r="E108"/>
  <c r="E157"/>
  <c r="E205"/>
  <c r="E254"/>
  <c r="D302"/>
  <c r="C145"/>
  <c r="E72"/>
  <c r="E88"/>
  <c r="E136"/>
  <c r="E169"/>
  <c r="E217"/>
  <c r="E242"/>
  <c r="D282"/>
  <c r="D12"/>
  <c r="D241"/>
  <c r="D205"/>
  <c r="D290"/>
  <c r="D254"/>
  <c r="D242"/>
  <c r="D96"/>
  <c r="D60"/>
  <c r="F302"/>
  <c r="F339"/>
  <c r="E21"/>
  <c r="E23" s="1"/>
  <c r="E36"/>
  <c r="E84"/>
  <c r="E117"/>
  <c r="E119" s="1"/>
  <c r="E132"/>
  <c r="E143"/>
  <c r="E181"/>
  <c r="E214"/>
  <c r="E229"/>
  <c r="E240"/>
  <c r="D351"/>
  <c r="D21"/>
  <c r="D23" s="1"/>
  <c r="D36"/>
  <c r="D84"/>
  <c r="D117"/>
  <c r="D119" s="1"/>
  <c r="D132"/>
  <c r="D143"/>
  <c r="D181"/>
  <c r="D214"/>
  <c r="D229"/>
  <c r="D240"/>
  <c r="F278"/>
  <c r="F311"/>
  <c r="F313" s="1"/>
  <c r="F326"/>
  <c r="F337"/>
  <c r="E278"/>
  <c r="E311"/>
  <c r="E313" s="1"/>
  <c r="E326"/>
  <c r="E337"/>
  <c r="F351"/>
  <c r="F21"/>
  <c r="F23" s="1"/>
  <c r="F36"/>
  <c r="F84"/>
  <c r="F117"/>
  <c r="F119" s="1"/>
  <c r="F132"/>
  <c r="F143"/>
  <c r="F181"/>
  <c r="F214"/>
  <c r="F229"/>
  <c r="F240"/>
  <c r="D278"/>
  <c r="D311"/>
  <c r="D313" s="1"/>
  <c r="D326"/>
  <c r="D337"/>
  <c r="E351"/>
  <c r="F185" l="1"/>
  <c r="E185"/>
  <c r="E282"/>
  <c r="F88"/>
  <c r="C329"/>
  <c r="F23" i="6"/>
  <c r="D145" i="17"/>
  <c r="E233"/>
  <c r="F233"/>
  <c r="E290"/>
  <c r="F193"/>
  <c r="E329"/>
  <c r="E338" s="1"/>
  <c r="F25" i="6"/>
  <c r="F136" i="17"/>
  <c r="D329"/>
  <c r="F24" i="6"/>
  <c r="F282" i="17"/>
  <c r="D48"/>
  <c r="F314"/>
  <c r="F338"/>
  <c r="D144"/>
  <c r="F120"/>
  <c r="F144"/>
  <c r="E120"/>
  <c r="E144"/>
  <c r="E24"/>
  <c r="E48"/>
  <c r="E314"/>
  <c r="F24"/>
  <c r="F48"/>
  <c r="D338"/>
  <c r="D330" l="1"/>
  <c r="D339"/>
  <c r="E330"/>
  <c r="F330"/>
  <c r="E339"/>
  <c r="C339"/>
  <c r="K30" i="12"/>
  <c r="O30" s="1"/>
  <c r="I25" i="35" l="1"/>
  <c r="I24"/>
  <c r="I10"/>
  <c r="G33" i="6"/>
  <c r="G35" s="1"/>
  <c r="F19" i="26" l="1"/>
  <c r="F18"/>
  <c r="F17"/>
  <c r="F16"/>
  <c r="E19"/>
  <c r="E18"/>
  <c r="E17"/>
  <c r="E16"/>
  <c r="D19"/>
  <c r="D18"/>
  <c r="D17"/>
  <c r="D16"/>
  <c r="C19"/>
  <c r="C18"/>
  <c r="C17"/>
  <c r="C16"/>
  <c r="B19"/>
  <c r="B18"/>
  <c r="B17"/>
  <c r="B16"/>
  <c r="C11" i="32" l="1"/>
  <c r="D35" i="2" l="1"/>
  <c r="D30"/>
  <c r="D21"/>
  <c r="D15"/>
  <c r="K29" i="12"/>
  <c r="O29" s="1"/>
  <c r="H19" i="35"/>
  <c r="E35" i="6"/>
  <c r="E33"/>
  <c r="D35"/>
  <c r="D33"/>
  <c r="F32" i="35" l="1"/>
  <c r="G31"/>
  <c r="D39" i="2" l="1"/>
  <c r="D40" s="1"/>
  <c r="C5" i="32" s="1"/>
  <c r="C6" s="1"/>
  <c r="C13" s="1"/>
  <c r="E9" i="35" s="1"/>
  <c r="F9" i="37" s="1"/>
  <c r="E9" s="1"/>
  <c r="H10" i="35"/>
  <c r="M320" i="17"/>
  <c r="C34" i="7"/>
  <c r="B34"/>
  <c r="C15" i="32" l="1"/>
  <c r="E9" i="3"/>
  <c r="F9" i="35" s="1"/>
  <c r="G9" i="37" s="1"/>
  <c r="F31" i="3"/>
  <c r="C37" i="32" l="1"/>
  <c r="C39" l="1"/>
  <c r="C41" l="1"/>
  <c r="B6" i="31"/>
  <c r="G32" i="6" l="1"/>
  <c r="G34" s="1"/>
  <c r="E32"/>
  <c r="E34" s="1"/>
  <c r="C35" i="7" l="1"/>
  <c r="M9" i="17"/>
  <c r="M11" s="1"/>
  <c r="M20"/>
  <c r="M31"/>
  <c r="M35"/>
  <c r="M46"/>
  <c r="M50"/>
  <c r="M68"/>
  <c r="M71"/>
  <c r="M79"/>
  <c r="M83"/>
  <c r="M94"/>
  <c r="M98"/>
  <c r="M105"/>
  <c r="M107" s="1"/>
  <c r="M116"/>
  <c r="M119" s="1"/>
  <c r="M127"/>
  <c r="M131"/>
  <c r="M142"/>
  <c r="M147"/>
  <c r="M154"/>
  <c r="M156" s="1"/>
  <c r="M168"/>
  <c r="M176"/>
  <c r="M180"/>
  <c r="M191"/>
  <c r="M195"/>
  <c r="M202"/>
  <c r="M204" s="1"/>
  <c r="M213"/>
  <c r="G19" i="26" s="1"/>
  <c r="M224" i="17"/>
  <c r="M228"/>
  <c r="M239"/>
  <c r="M244"/>
  <c r="M251"/>
  <c r="M253" s="1"/>
  <c r="M262"/>
  <c r="M265" s="1"/>
  <c r="M273"/>
  <c r="M277"/>
  <c r="M288"/>
  <c r="M292"/>
  <c r="M299"/>
  <c r="M301" s="1"/>
  <c r="M310"/>
  <c r="M313" s="1"/>
  <c r="M321"/>
  <c r="M325"/>
  <c r="M336"/>
  <c r="M341"/>
  <c r="L336"/>
  <c r="L324"/>
  <c r="L319"/>
  <c r="L312"/>
  <c r="D32" i="6" s="1"/>
  <c r="L299" i="17"/>
  <c r="L288"/>
  <c r="L276"/>
  <c r="E34" i="7" s="1"/>
  <c r="L271" i="17"/>
  <c r="L262"/>
  <c r="L251"/>
  <c r="L239"/>
  <c r="L227"/>
  <c r="L222"/>
  <c r="L215"/>
  <c r="L202"/>
  <c r="L179"/>
  <c r="L174"/>
  <c r="L167"/>
  <c r="L154"/>
  <c r="L142"/>
  <c r="L130"/>
  <c r="L125"/>
  <c r="L118"/>
  <c r="L105"/>
  <c r="L9"/>
  <c r="L11" s="1"/>
  <c r="L46"/>
  <c r="L94"/>
  <c r="L82"/>
  <c r="L77"/>
  <c r="L56"/>
  <c r="L55"/>
  <c r="L54"/>
  <c r="L53"/>
  <c r="L29"/>
  <c r="L22"/>
  <c r="C35" i="6" l="1"/>
  <c r="C33"/>
  <c r="H9" i="35" s="1"/>
  <c r="H11" s="1"/>
  <c r="B2" i="31"/>
  <c r="B33" i="6"/>
  <c r="H7" i="35" s="1"/>
  <c r="H16" s="1"/>
  <c r="B35" i="6"/>
  <c r="M279" i="17"/>
  <c r="M281" s="1"/>
  <c r="M290" s="1"/>
  <c r="M337"/>
  <c r="M263"/>
  <c r="M143"/>
  <c r="M327"/>
  <c r="M329" s="1"/>
  <c r="M339" s="1"/>
  <c r="M240"/>
  <c r="E35" i="7"/>
  <c r="M95" i="17"/>
  <c r="M47"/>
  <c r="M289"/>
  <c r="G19" i="3"/>
  <c r="D34" i="6"/>
  <c r="G10" i="3"/>
  <c r="E10" s="1"/>
  <c r="F10" i="35" s="1"/>
  <c r="M23" i="17"/>
  <c r="G34" i="7"/>
  <c r="H24" i="35" s="1"/>
  <c r="B35" i="7"/>
  <c r="M57" i="17"/>
  <c r="M59" s="1"/>
  <c r="M348"/>
  <c r="M230"/>
  <c r="M12"/>
  <c r="M346"/>
  <c r="M216"/>
  <c r="M182"/>
  <c r="M184" s="1"/>
  <c r="M133"/>
  <c r="M135" s="1"/>
  <c r="M144" s="1"/>
  <c r="M37"/>
  <c r="M342"/>
  <c r="M85"/>
  <c r="M87" s="1"/>
  <c r="E10" i="35" l="1"/>
  <c r="G10" i="37"/>
  <c r="G11" s="1"/>
  <c r="B4" i="31"/>
  <c r="B7" s="1"/>
  <c r="B8" s="1"/>
  <c r="B10" s="1"/>
  <c r="G7" i="3"/>
  <c r="H35" i="6"/>
  <c r="H33"/>
  <c r="H17" i="35"/>
  <c r="H13"/>
  <c r="H21" s="1"/>
  <c r="M232" i="17"/>
  <c r="M241" s="1"/>
  <c r="M343"/>
  <c r="M358" s="1"/>
  <c r="M338"/>
  <c r="G24" i="3"/>
  <c r="G9"/>
  <c r="M39" i="17"/>
  <c r="M361" s="1"/>
  <c r="M193"/>
  <c r="M350"/>
  <c r="M96"/>
  <c r="M145"/>
  <c r="M352"/>
  <c r="M242"/>
  <c r="M344" l="1"/>
  <c r="E11" i="35"/>
  <c r="E17" s="1"/>
  <c r="F10" i="37"/>
  <c r="E24" i="3"/>
  <c r="F24" i="35" s="1"/>
  <c r="E11" i="3"/>
  <c r="F11" i="35" s="1"/>
  <c r="M48" i="17"/>
  <c r="M354"/>
  <c r="M356"/>
  <c r="C30" i="2"/>
  <c r="C21"/>
  <c r="C15"/>
  <c r="C35"/>
  <c r="C39"/>
  <c r="K34" i="17"/>
  <c r="K29"/>
  <c r="K183"/>
  <c r="F17" i="37" l="1"/>
  <c r="E10"/>
  <c r="E11" s="1"/>
  <c r="E17" s="1"/>
  <c r="F11"/>
  <c r="G24"/>
  <c r="E24" i="35"/>
  <c r="E17" i="3"/>
  <c r="F17" i="35" s="1"/>
  <c r="G17" i="37" s="1"/>
  <c r="C40" i="2"/>
  <c r="M359" i="17"/>
  <c r="E24" i="37" l="1"/>
  <c r="F24"/>
  <c r="K28" i="12"/>
  <c r="O28" s="1"/>
  <c r="G31" i="6"/>
  <c r="G30"/>
  <c r="G29"/>
  <c r="G28"/>
  <c r="G27"/>
  <c r="G22"/>
  <c r="D31"/>
  <c r="D30"/>
  <c r="D29"/>
  <c r="D28"/>
  <c r="D27"/>
  <c r="D22"/>
  <c r="E31"/>
  <c r="E30"/>
  <c r="E29"/>
  <c r="E28"/>
  <c r="E27"/>
  <c r="E22"/>
  <c r="H31" i="7" l="1"/>
  <c r="G31"/>
  <c r="F31"/>
  <c r="F32"/>
  <c r="H32"/>
  <c r="G32"/>
  <c r="L34" i="17" l="1"/>
  <c r="L253" l="1"/>
  <c r="M254" s="1"/>
  <c r="L310"/>
  <c r="G18" i="26" s="1"/>
  <c r="L341" i="17"/>
  <c r="L292"/>
  <c r="L244"/>
  <c r="L195"/>
  <c r="L147"/>
  <c r="L98"/>
  <c r="L50"/>
  <c r="L342"/>
  <c r="L325"/>
  <c r="M326" s="1"/>
  <c r="L321"/>
  <c r="M322" s="1"/>
  <c r="L301"/>
  <c r="L277"/>
  <c r="M278" s="1"/>
  <c r="L273"/>
  <c r="D34" i="7" s="1"/>
  <c r="L265" i="17"/>
  <c r="M266" s="1"/>
  <c r="L228"/>
  <c r="M229" s="1"/>
  <c r="L224"/>
  <c r="M225" s="1"/>
  <c r="L213"/>
  <c r="M214" s="1"/>
  <c r="L204"/>
  <c r="M205" s="1"/>
  <c r="L191"/>
  <c r="M192" s="1"/>
  <c r="L180"/>
  <c r="M181" s="1"/>
  <c r="L176"/>
  <c r="M177" s="1"/>
  <c r="L168"/>
  <c r="M169" s="1"/>
  <c r="L156"/>
  <c r="M157" s="1"/>
  <c r="L131"/>
  <c r="M132" s="1"/>
  <c r="L127"/>
  <c r="M128" s="1"/>
  <c r="L116"/>
  <c r="M117" s="1"/>
  <c r="L107"/>
  <c r="L83"/>
  <c r="M84" s="1"/>
  <c r="L79"/>
  <c r="L71"/>
  <c r="M72" s="1"/>
  <c r="L68"/>
  <c r="L57"/>
  <c r="L59" s="1"/>
  <c r="M60" s="1"/>
  <c r="L35"/>
  <c r="M36" s="1"/>
  <c r="L31"/>
  <c r="M32" s="1"/>
  <c r="L20"/>
  <c r="M21" s="1"/>
  <c r="J362"/>
  <c r="J359"/>
  <c r="I359"/>
  <c r="H359"/>
  <c r="G359"/>
  <c r="B359"/>
  <c r="J357"/>
  <c r="I357"/>
  <c r="H357"/>
  <c r="J353"/>
  <c r="I353"/>
  <c r="H353"/>
  <c r="J350"/>
  <c r="I350"/>
  <c r="H350"/>
  <c r="H354" s="1"/>
  <c r="G350"/>
  <c r="G351" s="1"/>
  <c r="J349"/>
  <c r="I349"/>
  <c r="H349"/>
  <c r="J347"/>
  <c r="I347"/>
  <c r="H347"/>
  <c r="J344"/>
  <c r="I344"/>
  <c r="H344"/>
  <c r="G344"/>
  <c r="B344"/>
  <c r="K336"/>
  <c r="K342" s="1"/>
  <c r="K352" s="1"/>
  <c r="K353" s="1"/>
  <c r="J336"/>
  <c r="I336"/>
  <c r="H336"/>
  <c r="G336"/>
  <c r="G337" s="1"/>
  <c r="B336"/>
  <c r="C337" s="1"/>
  <c r="K325"/>
  <c r="J325"/>
  <c r="I325"/>
  <c r="H325"/>
  <c r="G325"/>
  <c r="G326" s="1"/>
  <c r="B325"/>
  <c r="C326" s="1"/>
  <c r="K321"/>
  <c r="J321"/>
  <c r="I321"/>
  <c r="H321"/>
  <c r="G321"/>
  <c r="G322" s="1"/>
  <c r="B321"/>
  <c r="C322" s="1"/>
  <c r="K310"/>
  <c r="G17" i="26" s="1"/>
  <c r="J310" i="17"/>
  <c r="I310"/>
  <c r="H310"/>
  <c r="C28" i="6" s="1"/>
  <c r="G310" i="17"/>
  <c r="B310"/>
  <c r="J300"/>
  <c r="K299"/>
  <c r="K301" s="1"/>
  <c r="J299"/>
  <c r="I299"/>
  <c r="I301" s="1"/>
  <c r="B29" i="6" s="1"/>
  <c r="H299" i="17"/>
  <c r="H301" s="1"/>
  <c r="B28" i="6" s="1"/>
  <c r="G299" i="17"/>
  <c r="G301" s="1"/>
  <c r="B299"/>
  <c r="B301" s="1"/>
  <c r="K288"/>
  <c r="J288"/>
  <c r="I288"/>
  <c r="H288"/>
  <c r="G288"/>
  <c r="G289" s="1"/>
  <c r="B288"/>
  <c r="C289" s="1"/>
  <c r="K277"/>
  <c r="I277"/>
  <c r="H277"/>
  <c r="G277"/>
  <c r="G278" s="1"/>
  <c r="B277"/>
  <c r="C278" s="1"/>
  <c r="J276"/>
  <c r="J277" s="1"/>
  <c r="J278" s="1"/>
  <c r="K273"/>
  <c r="I273"/>
  <c r="H273"/>
  <c r="G273"/>
  <c r="G274" s="1"/>
  <c r="B273"/>
  <c r="C274" s="1"/>
  <c r="J271"/>
  <c r="J273" s="1"/>
  <c r="J274" s="1"/>
  <c r="I265"/>
  <c r="H265"/>
  <c r="G265"/>
  <c r="K262"/>
  <c r="K265" s="1"/>
  <c r="J262"/>
  <c r="B262"/>
  <c r="B265" s="1"/>
  <c r="K251"/>
  <c r="K253" s="1"/>
  <c r="J251"/>
  <c r="J253" s="1"/>
  <c r="I251"/>
  <c r="I253" s="1"/>
  <c r="H251"/>
  <c r="H253" s="1"/>
  <c r="G251"/>
  <c r="G253" s="1"/>
  <c r="G254" s="1"/>
  <c r="B251"/>
  <c r="B253" s="1"/>
  <c r="C254" s="1"/>
  <c r="K239"/>
  <c r="J239"/>
  <c r="I239"/>
  <c r="H239"/>
  <c r="G239"/>
  <c r="G240" s="1"/>
  <c r="B239"/>
  <c r="C240" s="1"/>
  <c r="K231"/>
  <c r="K228"/>
  <c r="I228"/>
  <c r="H228"/>
  <c r="G228"/>
  <c r="G229" s="1"/>
  <c r="B228"/>
  <c r="C229" s="1"/>
  <c r="J227"/>
  <c r="J228" s="1"/>
  <c r="K224"/>
  <c r="I224"/>
  <c r="H224"/>
  <c r="G224"/>
  <c r="G225" s="1"/>
  <c r="B224"/>
  <c r="C225" s="1"/>
  <c r="J222"/>
  <c r="J224" s="1"/>
  <c r="J225" s="1"/>
  <c r="K218"/>
  <c r="K213"/>
  <c r="K216" s="1"/>
  <c r="J213"/>
  <c r="I213"/>
  <c r="I216" s="1"/>
  <c r="H213"/>
  <c r="G213"/>
  <c r="B213"/>
  <c r="C214" s="1"/>
  <c r="K202"/>
  <c r="K204" s="1"/>
  <c r="J202"/>
  <c r="J204" s="1"/>
  <c r="I202"/>
  <c r="I204" s="1"/>
  <c r="H202"/>
  <c r="H204" s="1"/>
  <c r="G202"/>
  <c r="G204" s="1"/>
  <c r="G205" s="1"/>
  <c r="B202"/>
  <c r="B204" s="1"/>
  <c r="C205" s="1"/>
  <c r="K191"/>
  <c r="J191"/>
  <c r="I191"/>
  <c r="H191"/>
  <c r="G191"/>
  <c r="G192" s="1"/>
  <c r="B191"/>
  <c r="C192" s="1"/>
  <c r="J184"/>
  <c r="K180"/>
  <c r="I180"/>
  <c r="H180"/>
  <c r="B180"/>
  <c r="C181" s="1"/>
  <c r="J179"/>
  <c r="J180" s="1"/>
  <c r="K176"/>
  <c r="I176"/>
  <c r="H176"/>
  <c r="G176"/>
  <c r="G177" s="1"/>
  <c r="B176"/>
  <c r="C177" s="1"/>
  <c r="J174"/>
  <c r="J176" s="1"/>
  <c r="J177" s="1"/>
  <c r="K168"/>
  <c r="J168"/>
  <c r="I165"/>
  <c r="I168" s="1"/>
  <c r="H165"/>
  <c r="H168" s="1"/>
  <c r="G165"/>
  <c r="G168" s="1"/>
  <c r="G169" s="1"/>
  <c r="B165"/>
  <c r="B168" s="1"/>
  <c r="C169" s="1"/>
  <c r="K154"/>
  <c r="K156" s="1"/>
  <c r="J154"/>
  <c r="J156" s="1"/>
  <c r="I154"/>
  <c r="I156" s="1"/>
  <c r="H154"/>
  <c r="H156" s="1"/>
  <c r="G154"/>
  <c r="G156" s="1"/>
  <c r="G157" s="1"/>
  <c r="B154"/>
  <c r="B156" s="1"/>
  <c r="C157" s="1"/>
  <c r="K142"/>
  <c r="J142"/>
  <c r="I142"/>
  <c r="H142"/>
  <c r="G142"/>
  <c r="G143" s="1"/>
  <c r="B142"/>
  <c r="C143" s="1"/>
  <c r="K131"/>
  <c r="J131"/>
  <c r="I131"/>
  <c r="H131"/>
  <c r="G131"/>
  <c r="G132" s="1"/>
  <c r="B131"/>
  <c r="C132" s="1"/>
  <c r="K127"/>
  <c r="J127"/>
  <c r="I127"/>
  <c r="H127"/>
  <c r="G127"/>
  <c r="G128" s="1"/>
  <c r="B127"/>
  <c r="C128" s="1"/>
  <c r="K116"/>
  <c r="K119" s="1"/>
  <c r="J116"/>
  <c r="I116"/>
  <c r="H116"/>
  <c r="G116"/>
  <c r="G117" s="1"/>
  <c r="B116"/>
  <c r="B106"/>
  <c r="K105"/>
  <c r="K107" s="1"/>
  <c r="J105"/>
  <c r="J107" s="1"/>
  <c r="I105"/>
  <c r="I107" s="1"/>
  <c r="H105"/>
  <c r="H107" s="1"/>
  <c r="G105"/>
  <c r="G107" s="1"/>
  <c r="G108" s="1"/>
  <c r="B105"/>
  <c r="K94"/>
  <c r="J94"/>
  <c r="I94"/>
  <c r="H94"/>
  <c r="G94"/>
  <c r="G95" s="1"/>
  <c r="B94"/>
  <c r="C95" s="1"/>
  <c r="J83"/>
  <c r="I83"/>
  <c r="H83"/>
  <c r="G83"/>
  <c r="G84" s="1"/>
  <c r="B83"/>
  <c r="C84" s="1"/>
  <c r="K82"/>
  <c r="K83" s="1"/>
  <c r="J79"/>
  <c r="I79"/>
  <c r="H79"/>
  <c r="G79"/>
  <c r="G80" s="1"/>
  <c r="B79"/>
  <c r="C80" s="1"/>
  <c r="K75"/>
  <c r="K79" s="1"/>
  <c r="K71"/>
  <c r="K68"/>
  <c r="J68"/>
  <c r="J71" s="1"/>
  <c r="I68"/>
  <c r="I71" s="1"/>
  <c r="H68"/>
  <c r="H71" s="1"/>
  <c r="G68"/>
  <c r="G71" s="1"/>
  <c r="G72" s="1"/>
  <c r="B68"/>
  <c r="B71" s="1"/>
  <c r="C72" s="1"/>
  <c r="K58"/>
  <c r="K57"/>
  <c r="J57"/>
  <c r="J59" s="1"/>
  <c r="I57"/>
  <c r="I59" s="1"/>
  <c r="H57"/>
  <c r="H59" s="1"/>
  <c r="G57"/>
  <c r="G59" s="1"/>
  <c r="G60" s="1"/>
  <c r="B57"/>
  <c r="B59" s="1"/>
  <c r="C60" s="1"/>
  <c r="K46"/>
  <c r="L47" s="1"/>
  <c r="J46"/>
  <c r="I46"/>
  <c r="H46"/>
  <c r="G46"/>
  <c r="G47" s="1"/>
  <c r="B46"/>
  <c r="C47" s="1"/>
  <c r="K35"/>
  <c r="J35"/>
  <c r="I35"/>
  <c r="H35"/>
  <c r="G35"/>
  <c r="G36" s="1"/>
  <c r="B35"/>
  <c r="C36" s="1"/>
  <c r="K31"/>
  <c r="J31"/>
  <c r="I31"/>
  <c r="H31"/>
  <c r="G31"/>
  <c r="G32" s="1"/>
  <c r="B31"/>
  <c r="C32" s="1"/>
  <c r="K20"/>
  <c r="K23" s="1"/>
  <c r="J20"/>
  <c r="I20"/>
  <c r="H20"/>
  <c r="G20"/>
  <c r="G21" s="1"/>
  <c r="B20"/>
  <c r="K9"/>
  <c r="K11" s="1"/>
  <c r="J9"/>
  <c r="J11" s="1"/>
  <c r="I9"/>
  <c r="I11" s="1"/>
  <c r="H9"/>
  <c r="H11" s="1"/>
  <c r="G9"/>
  <c r="G11" s="1"/>
  <c r="G12" s="1"/>
  <c r="B9"/>
  <c r="B11" s="1"/>
  <c r="C12" s="1"/>
  <c r="B119" l="1"/>
  <c r="C117"/>
  <c r="C119" s="1"/>
  <c r="B22" i="6"/>
  <c r="C302" i="17"/>
  <c r="C27" i="6"/>
  <c r="G311" i="17"/>
  <c r="G313" s="1"/>
  <c r="G314" s="1"/>
  <c r="C22" i="6"/>
  <c r="C311" i="17"/>
  <c r="C313" s="1"/>
  <c r="B23"/>
  <c r="C21"/>
  <c r="C23" s="1"/>
  <c r="G216"/>
  <c r="G217" s="1"/>
  <c r="G214"/>
  <c r="B27" i="6"/>
  <c r="G302" i="17"/>
  <c r="C30" i="6"/>
  <c r="G16" i="26"/>
  <c r="F34" i="7"/>
  <c r="H26" i="35" s="1"/>
  <c r="B37" i="17"/>
  <c r="B39" s="1"/>
  <c r="C40" s="1"/>
  <c r="H47"/>
  <c r="G119"/>
  <c r="G120" s="1"/>
  <c r="K322"/>
  <c r="I351"/>
  <c r="H85"/>
  <c r="H87" s="1"/>
  <c r="H96" s="1"/>
  <c r="H133"/>
  <c r="H135" s="1"/>
  <c r="H327"/>
  <c r="H329" s="1"/>
  <c r="H339" s="1"/>
  <c r="K36"/>
  <c r="J80"/>
  <c r="J95"/>
  <c r="H169"/>
  <c r="I322"/>
  <c r="L85"/>
  <c r="L87" s="1"/>
  <c r="M88" s="1"/>
  <c r="M80"/>
  <c r="L216"/>
  <c r="M217" s="1"/>
  <c r="L274"/>
  <c r="M274"/>
  <c r="I133"/>
  <c r="I135" s="1"/>
  <c r="I145" s="1"/>
  <c r="K240"/>
  <c r="J327"/>
  <c r="F30" i="6" s="1"/>
  <c r="I354" i="17"/>
  <c r="C32" i="6"/>
  <c r="C34" s="1"/>
  <c r="M311" i="17"/>
  <c r="J279"/>
  <c r="J281" s="1"/>
  <c r="J72"/>
  <c r="K84"/>
  <c r="I85"/>
  <c r="I87" s="1"/>
  <c r="I96" s="1"/>
  <c r="K192"/>
  <c r="B230"/>
  <c r="B232" s="1"/>
  <c r="M108"/>
  <c r="B32" i="6"/>
  <c r="B34" s="1"/>
  <c r="M302" i="17"/>
  <c r="L119"/>
  <c r="L117"/>
  <c r="J322"/>
  <c r="B48"/>
  <c r="K72"/>
  <c r="K95"/>
  <c r="K117"/>
  <c r="H279"/>
  <c r="H281" s="1"/>
  <c r="H290" s="1"/>
  <c r="I302"/>
  <c r="I311"/>
  <c r="I313" s="1"/>
  <c r="C29" i="6"/>
  <c r="L23" i="17"/>
  <c r="I327"/>
  <c r="B313"/>
  <c r="L177"/>
  <c r="L240"/>
  <c r="L279"/>
  <c r="L326"/>
  <c r="J37"/>
  <c r="J39" s="1"/>
  <c r="J361" s="1"/>
  <c r="K362" s="1"/>
  <c r="K32"/>
  <c r="H72"/>
  <c r="G33" i="7"/>
  <c r="G35" s="1"/>
  <c r="B85" i="17"/>
  <c r="B87" s="1"/>
  <c r="J85"/>
  <c r="J87" s="1"/>
  <c r="H117"/>
  <c r="H119" s="1"/>
  <c r="J132"/>
  <c r="H182"/>
  <c r="H184" s="1"/>
  <c r="H193" s="1"/>
  <c r="J230"/>
  <c r="J232" s="1"/>
  <c r="J242" s="1"/>
  <c r="J301"/>
  <c r="B30" i="6" s="1"/>
  <c r="K313" i="17"/>
  <c r="C31" i="6"/>
  <c r="L143" i="17"/>
  <c r="L289"/>
  <c r="B31" i="6"/>
  <c r="L37" i="17"/>
  <c r="J32"/>
  <c r="I278"/>
  <c r="H21"/>
  <c r="H23" s="1"/>
  <c r="J84"/>
  <c r="J229"/>
  <c r="I274"/>
  <c r="I12"/>
  <c r="K85"/>
  <c r="K87" s="1"/>
  <c r="G133"/>
  <c r="G135" s="1"/>
  <c r="K133"/>
  <c r="K135" s="1"/>
  <c r="K145" s="1"/>
  <c r="H225"/>
  <c r="H230"/>
  <c r="H232" s="1"/>
  <c r="H242" s="1"/>
  <c r="B327"/>
  <c r="L181"/>
  <c r="L182"/>
  <c r="L184" s="1"/>
  <c r="M185" s="1"/>
  <c r="K47"/>
  <c r="J143"/>
  <c r="I169"/>
  <c r="J192"/>
  <c r="H216"/>
  <c r="I217" s="1"/>
  <c r="H214"/>
  <c r="I289"/>
  <c r="L84"/>
  <c r="K59"/>
  <c r="K60" s="1"/>
  <c r="I128"/>
  <c r="I214"/>
  <c r="K225"/>
  <c r="G230"/>
  <c r="G232" s="1"/>
  <c r="J289"/>
  <c r="H326"/>
  <c r="G354"/>
  <c r="L36"/>
  <c r="L95"/>
  <c r="L229"/>
  <c r="H351"/>
  <c r="L128"/>
  <c r="L266"/>
  <c r="H12"/>
  <c r="H36"/>
  <c r="B107"/>
  <c r="C108" s="1"/>
  <c r="J128"/>
  <c r="I177"/>
  <c r="J181"/>
  <c r="K182"/>
  <c r="K184" s="1"/>
  <c r="I225"/>
  <c r="B279"/>
  <c r="B281" s="1"/>
  <c r="H302"/>
  <c r="K311"/>
  <c r="H322"/>
  <c r="J337"/>
  <c r="L72"/>
  <c r="L132"/>
  <c r="L169"/>
  <c r="L192"/>
  <c r="L230"/>
  <c r="L232" s="1"/>
  <c r="L311"/>
  <c r="L225"/>
  <c r="L214"/>
  <c r="L263"/>
  <c r="L337"/>
  <c r="L327"/>
  <c r="L322"/>
  <c r="L313"/>
  <c r="L80"/>
  <c r="L108"/>
  <c r="L352"/>
  <c r="M353" s="1"/>
  <c r="L12"/>
  <c r="L346"/>
  <c r="M347" s="1"/>
  <c r="L302"/>
  <c r="L133"/>
  <c r="L135" s="1"/>
  <c r="L21"/>
  <c r="L32"/>
  <c r="L157"/>
  <c r="L205"/>
  <c r="L254"/>
  <c r="L278"/>
  <c r="K144"/>
  <c r="K108"/>
  <c r="K346"/>
  <c r="I32"/>
  <c r="H32"/>
  <c r="J117"/>
  <c r="J119" s="1"/>
  <c r="K120" s="1"/>
  <c r="I117"/>
  <c r="I119" s="1"/>
  <c r="K157"/>
  <c r="K12"/>
  <c r="I60"/>
  <c r="H60"/>
  <c r="G85"/>
  <c r="G87" s="1"/>
  <c r="G88" s="1"/>
  <c r="I132"/>
  <c r="H132"/>
  <c r="K132"/>
  <c r="I157"/>
  <c r="J169"/>
  <c r="K254"/>
  <c r="J254"/>
  <c r="H337"/>
  <c r="G23"/>
  <c r="G24" s="1"/>
  <c r="K21"/>
  <c r="J21"/>
  <c r="J23" s="1"/>
  <c r="G37"/>
  <c r="G39" s="1"/>
  <c r="G40" s="1"/>
  <c r="K37"/>
  <c r="K39" s="1"/>
  <c r="J47"/>
  <c r="I47"/>
  <c r="I72"/>
  <c r="I80"/>
  <c r="H80"/>
  <c r="K80"/>
  <c r="I84"/>
  <c r="H84"/>
  <c r="H108"/>
  <c r="H128"/>
  <c r="K128"/>
  <c r="I143"/>
  <c r="H143"/>
  <c r="K143"/>
  <c r="H145"/>
  <c r="H157"/>
  <c r="I192"/>
  <c r="H192"/>
  <c r="B216"/>
  <c r="C217" s="1"/>
  <c r="K214"/>
  <c r="J214"/>
  <c r="J216"/>
  <c r="J217" s="1"/>
  <c r="G327"/>
  <c r="K327"/>
  <c r="K326"/>
  <c r="J36"/>
  <c r="I36"/>
  <c r="J12"/>
  <c r="I21"/>
  <c r="I23" s="1"/>
  <c r="H37"/>
  <c r="H39" s="1"/>
  <c r="I37"/>
  <c r="I39" s="1"/>
  <c r="J60"/>
  <c r="I95"/>
  <c r="H95"/>
  <c r="I108"/>
  <c r="J108"/>
  <c r="B133"/>
  <c r="B135" s="1"/>
  <c r="J133"/>
  <c r="J135" s="1"/>
  <c r="J193"/>
  <c r="J157"/>
  <c r="H311"/>
  <c r="H313" s="1"/>
  <c r="K278"/>
  <c r="K279"/>
  <c r="K281" s="1"/>
  <c r="K169"/>
  <c r="B182"/>
  <c r="B184" s="1"/>
  <c r="K181"/>
  <c r="I182"/>
  <c r="I184" s="1"/>
  <c r="I205"/>
  <c r="H205"/>
  <c r="H217"/>
  <c r="I230"/>
  <c r="I232" s="1"/>
  <c r="I229"/>
  <c r="K230"/>
  <c r="K232" s="1"/>
  <c r="J240"/>
  <c r="J354"/>
  <c r="J351"/>
  <c r="J205"/>
  <c r="H254"/>
  <c r="G279"/>
  <c r="G281" s="1"/>
  <c r="G282" s="1"/>
  <c r="G182"/>
  <c r="G184" s="1"/>
  <c r="G185" s="1"/>
  <c r="H177"/>
  <c r="K177"/>
  <c r="I181"/>
  <c r="H181"/>
  <c r="K205"/>
  <c r="I254"/>
  <c r="J265"/>
  <c r="K263"/>
  <c r="H278"/>
  <c r="I337"/>
  <c r="K229"/>
  <c r="H229"/>
  <c r="H240"/>
  <c r="I279"/>
  <c r="I281" s="1"/>
  <c r="K289"/>
  <c r="H289"/>
  <c r="J311"/>
  <c r="J313" s="1"/>
  <c r="I326"/>
  <c r="J326"/>
  <c r="I240"/>
  <c r="K274"/>
  <c r="H274"/>
  <c r="K337"/>
  <c r="B242" l="1"/>
  <c r="C233"/>
  <c r="G145"/>
  <c r="G136"/>
  <c r="C120"/>
  <c r="C144"/>
  <c r="D120"/>
  <c r="K282"/>
  <c r="D314"/>
  <c r="C314"/>
  <c r="C338"/>
  <c r="B193"/>
  <c r="C185"/>
  <c r="B145"/>
  <c r="C136"/>
  <c r="J302"/>
  <c r="C24"/>
  <c r="D24"/>
  <c r="C48"/>
  <c r="G242"/>
  <c r="G233"/>
  <c r="B96"/>
  <c r="C88"/>
  <c r="B290"/>
  <c r="C282"/>
  <c r="H136"/>
  <c r="F33" i="6"/>
  <c r="F35" s="1"/>
  <c r="L281" i="17"/>
  <c r="L282" s="1"/>
  <c r="J88"/>
  <c r="J329"/>
  <c r="J339" s="1"/>
  <c r="G48"/>
  <c r="J136"/>
  <c r="K88"/>
  <c r="I88"/>
  <c r="I282"/>
  <c r="I136"/>
  <c r="F28" i="6"/>
  <c r="H282" i="17"/>
  <c r="B241"/>
  <c r="J241"/>
  <c r="J96"/>
  <c r="L329"/>
  <c r="L343" s="1"/>
  <c r="F32" i="6"/>
  <c r="J290" i="17"/>
  <c r="L136"/>
  <c r="M136"/>
  <c r="L348"/>
  <c r="M349" s="1"/>
  <c r="M314"/>
  <c r="L217"/>
  <c r="D35" i="7"/>
  <c r="H34"/>
  <c r="L290" i="17"/>
  <c r="L233"/>
  <c r="M233"/>
  <c r="L24"/>
  <c r="M24"/>
  <c r="L120"/>
  <c r="M120"/>
  <c r="L144"/>
  <c r="L242"/>
  <c r="I329"/>
  <c r="I338" s="1"/>
  <c r="F29" i="6"/>
  <c r="I185" i="17"/>
  <c r="I40"/>
  <c r="K329"/>
  <c r="K339" s="1"/>
  <c r="F31" i="6"/>
  <c r="K266" i="17"/>
  <c r="L241"/>
  <c r="H241"/>
  <c r="B329"/>
  <c r="C330" s="1"/>
  <c r="F22" i="6"/>
  <c r="I290" i="17"/>
  <c r="H33" i="7"/>
  <c r="G290" i="17"/>
  <c r="L39"/>
  <c r="L361" s="1"/>
  <c r="K302"/>
  <c r="G329"/>
  <c r="G330" s="1"/>
  <c r="F27" i="6"/>
  <c r="L60" i="17"/>
  <c r="H32" i="6"/>
  <c r="H34" s="1"/>
  <c r="L88" i="17"/>
  <c r="F33" i="7"/>
  <c r="K290" i="17"/>
  <c r="H31" i="6"/>
  <c r="K185" i="17"/>
  <c r="I120"/>
  <c r="I144"/>
  <c r="L185"/>
  <c r="L193"/>
  <c r="H233"/>
  <c r="J40"/>
  <c r="K193"/>
  <c r="L96"/>
  <c r="I233"/>
  <c r="G96"/>
  <c r="H24"/>
  <c r="L314"/>
  <c r="K96"/>
  <c r="G241"/>
  <c r="L145"/>
  <c r="L347"/>
  <c r="L353"/>
  <c r="J314"/>
  <c r="I24"/>
  <c r="I48"/>
  <c r="K233"/>
  <c r="K242"/>
  <c r="H314"/>
  <c r="H338"/>
  <c r="J24"/>
  <c r="K347"/>
  <c r="K217"/>
  <c r="H120"/>
  <c r="H144"/>
  <c r="J144"/>
  <c r="G193"/>
  <c r="I314"/>
  <c r="G144"/>
  <c r="I242"/>
  <c r="J233"/>
  <c r="H185"/>
  <c r="I241"/>
  <c r="H40"/>
  <c r="H48"/>
  <c r="J185"/>
  <c r="H88"/>
  <c r="K24"/>
  <c r="K361"/>
  <c r="L362" s="1"/>
  <c r="K40"/>
  <c r="J48"/>
  <c r="K314"/>
  <c r="K348"/>
  <c r="K349" s="1"/>
  <c r="I193"/>
  <c r="K136"/>
  <c r="B144"/>
  <c r="K241"/>
  <c r="J145"/>
  <c r="J120"/>
  <c r="K48"/>
  <c r="J282"/>
  <c r="I35" i="6" l="1"/>
  <c r="L35" s="1"/>
  <c r="I33"/>
  <c r="E7" i="3" s="1"/>
  <c r="H25" i="35"/>
  <c r="J33" i="6"/>
  <c r="M282" i="17"/>
  <c r="L350"/>
  <c r="L356" s="1"/>
  <c r="M357" s="1"/>
  <c r="J338"/>
  <c r="L339"/>
  <c r="L338"/>
  <c r="M330"/>
  <c r="L358"/>
  <c r="L344"/>
  <c r="H35" i="7"/>
  <c r="G25" i="3"/>
  <c r="L48" i="17"/>
  <c r="M40"/>
  <c r="F34" i="6"/>
  <c r="L354" i="17"/>
  <c r="L40"/>
  <c r="M362"/>
  <c r="G26" i="3"/>
  <c r="F35" i="7"/>
  <c r="I32" i="6"/>
  <c r="K338" i="17"/>
  <c r="H330"/>
  <c r="G338"/>
  <c r="K330"/>
  <c r="B339"/>
  <c r="B338"/>
  <c r="J330"/>
  <c r="I330"/>
  <c r="I339"/>
  <c r="K343"/>
  <c r="K344" s="1"/>
  <c r="G339"/>
  <c r="L330"/>
  <c r="I31" i="6"/>
  <c r="L31" s="1"/>
  <c r="J31"/>
  <c r="K350" i="17"/>
  <c r="L349"/>
  <c r="K358" l="1"/>
  <c r="M351"/>
  <c r="E16" i="3"/>
  <c r="F16" i="35" s="1"/>
  <c r="G16" i="37" s="1"/>
  <c r="G19" s="1"/>
  <c r="F7" i="35"/>
  <c r="G7" i="37" s="1"/>
  <c r="G13" s="1"/>
  <c r="J35" i="6"/>
  <c r="L33"/>
  <c r="H29" i="35" s="1"/>
  <c r="E7"/>
  <c r="H27"/>
  <c r="E13" i="3"/>
  <c r="F13" i="35" s="1"/>
  <c r="L351" i="17"/>
  <c r="E25" i="3"/>
  <c r="F25" i="35" s="1"/>
  <c r="G27" i="3"/>
  <c r="I34" i="6"/>
  <c r="K351" i="17"/>
  <c r="K356"/>
  <c r="K357" s="1"/>
  <c r="K354"/>
  <c r="L359"/>
  <c r="G21" i="37" l="1"/>
  <c r="E16" i="35"/>
  <c r="F7" i="37"/>
  <c r="F13" s="1"/>
  <c r="G25"/>
  <c r="E25" i="35"/>
  <c r="F26"/>
  <c r="E19" i="3"/>
  <c r="F19" i="35" s="1"/>
  <c r="E13"/>
  <c r="G29" i="3"/>
  <c r="E26"/>
  <c r="K359" i="17"/>
  <c r="L357"/>
  <c r="N26" i="12"/>
  <c r="N25"/>
  <c r="N27"/>
  <c r="I27"/>
  <c r="E21" i="3" l="1"/>
  <c r="F21" i="35" s="1"/>
  <c r="F27" s="1"/>
  <c r="G27" i="37" s="1"/>
  <c r="F16"/>
  <c r="F19" s="1"/>
  <c r="F21" s="1"/>
  <c r="E19" i="35"/>
  <c r="E21" s="1"/>
  <c r="E25" i="37"/>
  <c r="E26" s="1"/>
  <c r="G26"/>
  <c r="F25"/>
  <c r="F26" s="1"/>
  <c r="E26" i="35"/>
  <c r="E34" s="1"/>
  <c r="E27" l="1"/>
  <c r="E29" s="1"/>
  <c r="F27" i="37"/>
  <c r="E7" s="1"/>
  <c r="E27" i="3"/>
  <c r="E29" s="1"/>
  <c r="G29" i="37"/>
  <c r="F29" i="35"/>
  <c r="J27" i="12"/>
  <c r="K27" s="1"/>
  <c r="O27" s="1"/>
  <c r="F29" i="37" l="1"/>
  <c r="F31" s="1"/>
  <c r="E32"/>
  <c r="E36" i="35"/>
  <c r="E37" s="1"/>
  <c r="E16" i="37"/>
  <c r="E19" s="1"/>
  <c r="E13"/>
  <c r="I26" i="12"/>
  <c r="E26"/>
  <c r="F26" s="1"/>
  <c r="E21" i="37" l="1"/>
  <c r="E27" s="1"/>
  <c r="E29" s="1"/>
  <c r="K26" i="12"/>
  <c r="O26" s="1"/>
  <c r="K25" l="1"/>
  <c r="O25" s="1"/>
  <c r="F25"/>
  <c r="E28" i="7"/>
  <c r="H28" s="1"/>
  <c r="E29"/>
  <c r="F29" s="1"/>
  <c r="E30"/>
  <c r="D30"/>
  <c r="I25" i="12"/>
  <c r="N24"/>
  <c r="J24"/>
  <c r="K24" s="1"/>
  <c r="O24" s="1"/>
  <c r="I24"/>
  <c r="F24"/>
  <c r="B17" i="15"/>
  <c r="G30" i="7"/>
  <c r="N21" i="12"/>
  <c r="G29" i="7"/>
  <c r="N23" i="12"/>
  <c r="I23"/>
  <c r="G28" i="7"/>
  <c r="F23" i="12"/>
  <c r="J23"/>
  <c r="K23" s="1"/>
  <c r="O23" s="1"/>
  <c r="K22"/>
  <c r="O22" s="1"/>
  <c r="K21"/>
  <c r="O21" s="1"/>
  <c r="F22"/>
  <c r="I22"/>
  <c r="H26" i="7"/>
  <c r="H25"/>
  <c r="H24"/>
  <c r="H23"/>
  <c r="H22"/>
  <c r="H21"/>
  <c r="H20"/>
  <c r="H19"/>
  <c r="H18"/>
  <c r="H17"/>
  <c r="H16"/>
  <c r="H15"/>
  <c r="H14"/>
  <c r="H13"/>
  <c r="H12"/>
  <c r="H11"/>
  <c r="H10"/>
  <c r="H9"/>
  <c r="H8"/>
  <c r="H7"/>
  <c r="H6"/>
  <c r="H21" i="6"/>
  <c r="J21" s="1"/>
  <c r="H20"/>
  <c r="J20" s="1"/>
  <c r="H19"/>
  <c r="J19" s="1"/>
  <c r="H18"/>
  <c r="I18" s="1"/>
  <c r="L18" s="1"/>
  <c r="H17"/>
  <c r="I17" s="1"/>
  <c r="L17" s="1"/>
  <c r="H16"/>
  <c r="J16" s="1"/>
  <c r="H15"/>
  <c r="J15" s="1"/>
  <c r="H14"/>
  <c r="J14" s="1"/>
  <c r="H13"/>
  <c r="J13" s="1"/>
  <c r="H12"/>
  <c r="J12" s="1"/>
  <c r="H11"/>
  <c r="J11" s="1"/>
  <c r="H10"/>
  <c r="I10" s="1"/>
  <c r="L10" s="1"/>
  <c r="H9"/>
  <c r="I9" s="1"/>
  <c r="L9" s="1"/>
  <c r="H8"/>
  <c r="H7"/>
  <c r="J7" s="1"/>
  <c r="H6"/>
  <c r="I6" s="1"/>
  <c r="L6" s="1"/>
  <c r="H5"/>
  <c r="J5" s="1"/>
  <c r="H4"/>
  <c r="J4" s="1"/>
  <c r="F20" i="12"/>
  <c r="F19"/>
  <c r="F18"/>
  <c r="F17"/>
  <c r="F16"/>
  <c r="F15"/>
  <c r="F14"/>
  <c r="F13"/>
  <c r="F12"/>
  <c r="F11"/>
  <c r="F10"/>
  <c r="F9"/>
  <c r="F8"/>
  <c r="F21"/>
  <c r="N22"/>
  <c r="I21"/>
  <c r="K20"/>
  <c r="K17"/>
  <c r="K16"/>
  <c r="K15"/>
  <c r="K14"/>
  <c r="I20"/>
  <c r="I19"/>
  <c r="I18"/>
  <c r="I17"/>
  <c r="I16"/>
  <c r="K19"/>
  <c r="G24" i="7"/>
  <c r="F24"/>
  <c r="G5"/>
  <c r="H5"/>
  <c r="G6"/>
  <c r="G7"/>
  <c r="G8"/>
  <c r="G9"/>
  <c r="G10"/>
  <c r="F11"/>
  <c r="G11"/>
  <c r="F12"/>
  <c r="G12"/>
  <c r="F13"/>
  <c r="G13"/>
  <c r="F14"/>
  <c r="G14"/>
  <c r="F15"/>
  <c r="G15"/>
  <c r="F16"/>
  <c r="G16"/>
  <c r="F17"/>
  <c r="G17"/>
  <c r="F18"/>
  <c r="G18"/>
  <c r="F19"/>
  <c r="G19"/>
  <c r="F20"/>
  <c r="G20"/>
  <c r="F21"/>
  <c r="G21"/>
  <c r="F22"/>
  <c r="G22"/>
  <c r="F23"/>
  <c r="G23"/>
  <c r="G27"/>
  <c r="H27"/>
  <c r="F27"/>
  <c r="G26"/>
  <c r="G25"/>
  <c r="K18" i="12"/>
  <c r="F26" i="7"/>
  <c r="F25"/>
  <c r="I21" i="6" l="1"/>
  <c r="L21" s="1"/>
  <c r="F28" i="7"/>
  <c r="I13" i="6"/>
  <c r="L13" s="1"/>
  <c r="J10"/>
  <c r="K11" s="1"/>
  <c r="J6"/>
  <c r="K7" s="1"/>
  <c r="I16"/>
  <c r="L16" s="1"/>
  <c r="I12"/>
  <c r="L12" s="1"/>
  <c r="I11"/>
  <c r="L11" s="1"/>
  <c r="J9"/>
  <c r="I4"/>
  <c r="L4" s="1"/>
  <c r="H23"/>
  <c r="H25"/>
  <c r="H27"/>
  <c r="H24"/>
  <c r="H22"/>
  <c r="I19"/>
  <c r="L19" s="1"/>
  <c r="K21"/>
  <c r="H26"/>
  <c r="I5"/>
  <c r="L5" s="1"/>
  <c r="H28"/>
  <c r="H29"/>
  <c r="I14"/>
  <c r="L14" s="1"/>
  <c r="K12"/>
  <c r="K15"/>
  <c r="K5"/>
  <c r="K16"/>
  <c r="I20"/>
  <c r="L20" s="1"/>
  <c r="H29" i="7"/>
  <c r="K13" i="6"/>
  <c r="I7"/>
  <c r="L7" s="1"/>
  <c r="I15"/>
  <c r="L15" s="1"/>
  <c r="J17"/>
  <c r="K17" s="1"/>
  <c r="J18"/>
  <c r="K19" s="1"/>
  <c r="K20"/>
  <c r="K14"/>
  <c r="H30" i="7"/>
  <c r="F30"/>
  <c r="J8" i="6"/>
  <c r="I8"/>
  <c r="L8" s="1"/>
  <c r="K10" l="1"/>
  <c r="K6"/>
  <c r="J28"/>
  <c r="J26"/>
  <c r="I29"/>
  <c r="L29" s="1"/>
  <c r="C16" i="15"/>
  <c r="B7" s="1"/>
  <c r="B5"/>
  <c r="K18" i="6"/>
  <c r="G11" i="3"/>
  <c r="H30" i="6"/>
  <c r="K9"/>
  <c r="K8"/>
  <c r="G13" i="3" l="1"/>
  <c r="G21" s="1"/>
  <c r="I27" i="6"/>
  <c r="L27" s="1"/>
  <c r="J27"/>
  <c r="K27" s="1"/>
  <c r="I25"/>
  <c r="L25" s="1"/>
  <c r="J25"/>
  <c r="J29"/>
  <c r="K29" s="1"/>
  <c r="I28"/>
  <c r="L28" s="1"/>
  <c r="J24"/>
  <c r="I24"/>
  <c r="L24" s="1"/>
  <c r="I26"/>
  <c r="L26" s="1"/>
  <c r="I22"/>
  <c r="L22" s="1"/>
  <c r="J22"/>
  <c r="I23"/>
  <c r="L23" s="1"/>
  <c r="J23"/>
  <c r="I30"/>
  <c r="B8" i="15"/>
  <c r="B6"/>
  <c r="B10"/>
  <c r="B9"/>
  <c r="J30" i="6"/>
  <c r="K31" s="1"/>
  <c r="K24" l="1"/>
  <c r="K28"/>
  <c r="K30"/>
  <c r="K23"/>
  <c r="K22"/>
  <c r="K25"/>
  <c r="K26"/>
  <c r="C7" i="15"/>
  <c r="J32" i="6"/>
  <c r="C9" i="15"/>
  <c r="C8"/>
  <c r="C6"/>
  <c r="C5"/>
  <c r="C10"/>
  <c r="L30" i="6"/>
  <c r="K35" l="1"/>
  <c r="K33"/>
  <c r="K32"/>
  <c r="D5" i="15"/>
  <c r="E5" s="1"/>
  <c r="L32" i="6"/>
  <c r="D6" i="15"/>
  <c r="E6" s="1"/>
  <c r="D9"/>
  <c r="E9" s="1"/>
  <c r="D10"/>
  <c r="E10" s="1"/>
  <c r="D8"/>
  <c r="E8" s="1"/>
  <c r="D7"/>
  <c r="E7" s="1"/>
  <c r="D12"/>
  <c r="A12" l="1"/>
  <c r="B12"/>
  <c r="C12" s="1"/>
  <c r="E12" s="1"/>
  <c r="E32" i="3" l="1"/>
</calcChain>
</file>

<file path=xl/sharedStrings.xml><?xml version="1.0" encoding="utf-8"?>
<sst xmlns="http://schemas.openxmlformats.org/spreadsheetml/2006/main" count="832" uniqueCount="353">
  <si>
    <t>Year</t>
  </si>
  <si>
    <t>Barrels</t>
  </si>
  <si>
    <t>Domestic Cranberry Production Estimate</t>
  </si>
  <si>
    <t>MA</t>
  </si>
  <si>
    <t>NJ</t>
  </si>
  <si>
    <t xml:space="preserve">             MA Average</t>
  </si>
  <si>
    <t xml:space="preserve">   Darlington</t>
  </si>
  <si>
    <t xml:space="preserve">              NJ Average</t>
  </si>
  <si>
    <t>WI</t>
  </si>
  <si>
    <t xml:space="preserve">   Potter</t>
  </si>
  <si>
    <t xml:space="preserve">              WI Average</t>
  </si>
  <si>
    <t>OR</t>
  </si>
  <si>
    <t xml:space="preserve">             OR Average</t>
  </si>
  <si>
    <t>WA</t>
  </si>
  <si>
    <t xml:space="preserve">             WA Average</t>
  </si>
  <si>
    <t>Production &amp; Acquired</t>
  </si>
  <si>
    <t>Estimated Foreign Acquired</t>
  </si>
  <si>
    <t>Available Supply (1+4)</t>
  </si>
  <si>
    <t>Estimated Shrinkage</t>
  </si>
  <si>
    <t>Adjusted Supply (5-8)</t>
  </si>
  <si>
    <t xml:space="preserve"> </t>
  </si>
  <si>
    <t>Sales &amp; Usage</t>
  </si>
  <si>
    <t>Total Sales/Usage (10+11)</t>
  </si>
  <si>
    <t>1,000 Barrels</t>
  </si>
  <si>
    <t>Carryin Inventories</t>
  </si>
  <si>
    <t>Foreign Acquired</t>
  </si>
  <si>
    <t>Total Sales</t>
  </si>
  <si>
    <t>Total Available Supply</t>
  </si>
  <si>
    <t>Fresh Domestic Sales</t>
  </si>
  <si>
    <t>Fresh Export Sales</t>
  </si>
  <si>
    <t>Processed Domestic Sales</t>
  </si>
  <si>
    <t>Processed Export Sales</t>
  </si>
  <si>
    <t>Total Fresh Sales</t>
  </si>
  <si>
    <t>Total Processed Sales</t>
  </si>
  <si>
    <t>Sales</t>
  </si>
  <si>
    <t xml:space="preserve">   Harju</t>
  </si>
  <si>
    <t xml:space="preserve">   Amundson</t>
  </si>
  <si>
    <t>Estimated Carry-In, Supply, Sales/Usage &amp; Carryout Inventory</t>
  </si>
  <si>
    <t>Estimated Domestic Production</t>
  </si>
  <si>
    <t>Total Production &amp; Acquistions (2+3)</t>
  </si>
  <si>
    <t>Estimated Shrinkage (6+7)</t>
  </si>
  <si>
    <t>Fresh Fruit Sales</t>
  </si>
  <si>
    <t>Processing Fruit Usage</t>
  </si>
  <si>
    <t>Industry Inventory Est.(Pipeline) Needs</t>
  </si>
  <si>
    <t xml:space="preserve">   Van Wychen</t>
  </si>
  <si>
    <t xml:space="preserve">   Rezendes</t>
  </si>
  <si>
    <t>Production (Barrels)</t>
  </si>
  <si>
    <t>Registered Acres</t>
  </si>
  <si>
    <t>Yield</t>
  </si>
  <si>
    <t>Producing Acres</t>
  </si>
  <si>
    <t>Total Acres</t>
  </si>
  <si>
    <t>Number of Producers</t>
  </si>
  <si>
    <t>Quebec</t>
  </si>
  <si>
    <t>British Columbia</t>
  </si>
  <si>
    <t>Production Barrels</t>
  </si>
  <si>
    <t>Chile</t>
  </si>
  <si>
    <t xml:space="preserve">   Rogers</t>
  </si>
  <si>
    <t xml:space="preserve">   Mauck</t>
  </si>
  <si>
    <t>Interhandler Transfers</t>
  </si>
  <si>
    <t xml:space="preserve">Total Sales </t>
  </si>
  <si>
    <t>Shrinkage</t>
  </si>
  <si>
    <t>Carryout Inventory</t>
  </si>
  <si>
    <t>Est Adjusted Carryout as of 08/31/12</t>
  </si>
  <si>
    <t>Q1-1st Cycle</t>
  </si>
  <si>
    <t>BEGINNING INVENTORY</t>
  </si>
  <si>
    <t>Barrels in Freezers</t>
  </si>
  <si>
    <t>Barrels in Processed Form</t>
  </si>
  <si>
    <t>Barrels in Concentrate</t>
  </si>
  <si>
    <t>Sub-Total</t>
  </si>
  <si>
    <t>Adj from prev report:</t>
  </si>
  <si>
    <t>Barrels On Hand</t>
  </si>
  <si>
    <t>ACQUISITIONS</t>
  </si>
  <si>
    <t>Massachusetts</t>
  </si>
  <si>
    <t>New Jersey</t>
  </si>
  <si>
    <t>Oregon</t>
  </si>
  <si>
    <t>Washington</t>
  </si>
  <si>
    <t>Wisconsin</t>
  </si>
  <si>
    <t>Other States</t>
  </si>
  <si>
    <t>U.S. Acquired</t>
  </si>
  <si>
    <t>Foreign Barrels Acquired</t>
  </si>
  <si>
    <t>Total Barrels Acquired</t>
  </si>
  <si>
    <t>SALES &amp; SHRINKAGE</t>
  </si>
  <si>
    <t>Sold to Processors</t>
  </si>
  <si>
    <t>Sold to the Government</t>
  </si>
  <si>
    <t>Total Domestic Sales</t>
  </si>
  <si>
    <t>Foreign Sales-Fresh</t>
  </si>
  <si>
    <t>Foreign Sales-Processed</t>
  </si>
  <si>
    <t>Total Foreign Sales</t>
  </si>
  <si>
    <t>Total Sales &amp; Shrinkage</t>
  </si>
  <si>
    <t>ENDING INVENTORY</t>
  </si>
  <si>
    <t>Barrels In Inventory</t>
  </si>
  <si>
    <t>Check #</t>
  </si>
  <si>
    <t>Q2-2nd Cycle</t>
  </si>
  <si>
    <t>Fresh Fruit</t>
  </si>
  <si>
    <t>Year To Date: (Q1.Q2)</t>
  </si>
  <si>
    <t>Total Barrels On Hand</t>
  </si>
  <si>
    <t>Barrels Acq to date</t>
  </si>
  <si>
    <t>Q3: 3rd Cycle</t>
  </si>
  <si>
    <t>Year To Date: (Q1.Q2.Q3)</t>
  </si>
  <si>
    <t>Q4: 4th Cycle</t>
  </si>
  <si>
    <t>Final Year to Date</t>
  </si>
  <si>
    <t>Crop Years</t>
  </si>
  <si>
    <t>Ending Inventory</t>
  </si>
  <si>
    <t>Carry-in</t>
  </si>
  <si>
    <t>Production/Acq</t>
  </si>
  <si>
    <t>Total Supply</t>
  </si>
  <si>
    <t>Supply</t>
  </si>
  <si>
    <t>Utilization</t>
  </si>
  <si>
    <t>% of Supply Utilized</t>
  </si>
  <si>
    <t>Q1 Sales</t>
  </si>
  <si>
    <t>Pipeline Needs</t>
  </si>
  <si>
    <t xml:space="preserve">   Nemitz</t>
  </si>
  <si>
    <t xml:space="preserve">   Hatton</t>
  </si>
  <si>
    <t xml:space="preserve">   Ells</t>
  </si>
  <si>
    <t>barrels</t>
  </si>
  <si>
    <t>4% Estimated Production/Acquisitions (4)</t>
  </si>
  <si>
    <t xml:space="preserve"> CY' 2012</t>
  </si>
  <si>
    <t>CY' 2011</t>
  </si>
  <si>
    <t>CY '2006</t>
  </si>
  <si>
    <t>9/1-12/31/12</t>
  </si>
  <si>
    <t>9/1-12/31/11</t>
  </si>
  <si>
    <t>9/1-12/31/06</t>
  </si>
  <si>
    <t>CY '2012</t>
  </si>
  <si>
    <t>CY '2011</t>
  </si>
  <si>
    <t>CY ' 2006</t>
  </si>
  <si>
    <t>1/1-4/30/13</t>
  </si>
  <si>
    <t>1/1-4/30/12</t>
  </si>
  <si>
    <t>1/1-4/30/07</t>
  </si>
  <si>
    <t>9/1/12-4/30/13</t>
  </si>
  <si>
    <t>9/1/12-4/30/12</t>
  </si>
  <si>
    <t>9/1/06-4/30/07</t>
  </si>
  <si>
    <t>5/1-6/30/13</t>
  </si>
  <si>
    <t>5/1-7/31/12</t>
  </si>
  <si>
    <t>5/1-7/31/07</t>
  </si>
  <si>
    <t>9/1/12-6/30/13</t>
  </si>
  <si>
    <t>9/1/11-7/31/12</t>
  </si>
  <si>
    <t>9/1/06-7/31/07</t>
  </si>
  <si>
    <t>8/1-8/31/12</t>
  </si>
  <si>
    <t>8/1-8/31/07</t>
  </si>
  <si>
    <t>9/1/12-8/31/13</t>
  </si>
  <si>
    <t>9/1/11-8/31/12</t>
  </si>
  <si>
    <t>9/1/06-8/31/07</t>
  </si>
  <si>
    <t xml:space="preserve"> CY' 2013</t>
  </si>
  <si>
    <t>9/1-12/31/13</t>
  </si>
  <si>
    <t>Allotment Percentage</t>
  </si>
  <si>
    <t>Total Available Supply*</t>
  </si>
  <si>
    <t>No Allotment</t>
  </si>
  <si>
    <t>* Adjusted for Shrink</t>
  </si>
  <si>
    <t>Impacts of Various Allotments - February 2014</t>
  </si>
  <si>
    <t xml:space="preserve"> at February 2014 CMC meeting</t>
  </si>
  <si>
    <t>Where this number comes from:</t>
  </si>
  <si>
    <t>Est. Production/Marketable Quantity</t>
  </si>
  <si>
    <t xml:space="preserve">*  2014 Crop is estimated at </t>
  </si>
  <si>
    <t>* Sales History (Sales history+ramp up) =</t>
  </si>
  <si>
    <t>Estimated carry-in from 'total available supply and sale', may be adjusted based on Committee input</t>
  </si>
  <si>
    <t>% Change</t>
  </si>
  <si>
    <t>Inventory as a % of sales</t>
  </si>
  <si>
    <t>CY'2014</t>
  </si>
  <si>
    <t>9/1-12/31/14</t>
  </si>
  <si>
    <t>CY '2014</t>
  </si>
  <si>
    <t>CY '2013</t>
  </si>
  <si>
    <t>1/1-4/30/15</t>
  </si>
  <si>
    <t>1/1-4/30/14</t>
  </si>
  <si>
    <t>9/1/14-4/30/15</t>
  </si>
  <si>
    <t>9/1/13-4/30/14</t>
  </si>
  <si>
    <t>5/1-6/30/15</t>
  </si>
  <si>
    <t>5/1-6/30/14</t>
  </si>
  <si>
    <t>9/1/14-6/30/15</t>
  </si>
  <si>
    <t>9/1/13-6/30/14</t>
  </si>
  <si>
    <t>7/1-8/31/15</t>
  </si>
  <si>
    <t>7/1-8/31/14</t>
  </si>
  <si>
    <t>7/1-8/31/13</t>
  </si>
  <si>
    <t>9/1/14-8/31/15</t>
  </si>
  <si>
    <t>9/1/13-8/31/14</t>
  </si>
  <si>
    <t>CY'2013</t>
  </si>
  <si>
    <t>% of Total Sales/Shrink</t>
  </si>
  <si>
    <t>% of Total Sales</t>
  </si>
  <si>
    <t>% of Total Supply</t>
  </si>
  <si>
    <t>Handler Processed &amp; Sold</t>
  </si>
  <si>
    <t>% Change from most recent CY</t>
  </si>
  <si>
    <t>Estimated production from committee members production estimates</t>
  </si>
  <si>
    <t>Estimated Foreign acquired from committee member estimates</t>
  </si>
  <si>
    <t xml:space="preserve">Total production calculated as sum of estimated domestic production and estimated foreign acquired </t>
  </si>
  <si>
    <t>2% of Carry-in (1)</t>
  </si>
  <si>
    <t>Estimated Production calculated as 4% of total production &amp; acquisitions</t>
  </si>
  <si>
    <t>Calculated as 2% of estimated Carry-In</t>
  </si>
  <si>
    <t>Available Supply calculated as sum of total production &amp; acquisitions and estimated Carry-In</t>
  </si>
  <si>
    <t>Calculated as estimated shrinkage deducted from available supply</t>
  </si>
  <si>
    <t>Fresh Fruit Sales from Committee member estimates</t>
  </si>
  <si>
    <t>Processing Fruit Usage from Committee member estimates</t>
  </si>
  <si>
    <t>Total Sales/Usage is sum of fresh fruit sales and processing fruit usage</t>
  </si>
  <si>
    <t>Estimated Adjusted Carry-over is calculated as total Sales/usage deducted from adjusted supply</t>
  </si>
  <si>
    <t xml:space="preserve">Estimated Shrinkage calculated as sum of estimated Carry-In shrinkage &amp; estimated total production &amp; acquisitions </t>
  </si>
  <si>
    <t xml:space="preserve">   Gerber</t>
  </si>
  <si>
    <t>difference available supply and sales</t>
  </si>
  <si>
    <t>% change</t>
  </si>
  <si>
    <t>Carry-out Inventory % of total Sales</t>
  </si>
  <si>
    <t xml:space="preserve">  </t>
  </si>
  <si>
    <t xml:space="preserve">Cranberry Marketing Committee (CMC)                                                                                      </t>
  </si>
  <si>
    <t xml:space="preserve">Total Canada </t>
  </si>
  <si>
    <t>February Committee Forecast</t>
  </si>
  <si>
    <t xml:space="preserve"> Production</t>
  </si>
  <si>
    <t>Production</t>
  </si>
  <si>
    <t>Cranberry Acres and Production:  Non US</t>
  </si>
  <si>
    <t>Total Non US</t>
  </si>
  <si>
    <t xml:space="preserve">Atlantic Canada* </t>
  </si>
  <si>
    <t>* Atlantic Canada includes NB, NS, PEI, NL</t>
  </si>
  <si>
    <t xml:space="preserve">   Bartling</t>
  </si>
  <si>
    <t>U.S.</t>
  </si>
  <si>
    <t>CY'2015</t>
  </si>
  <si>
    <t>9/1-12/31/15</t>
  </si>
  <si>
    <t xml:space="preserve">   Mollor</t>
  </si>
  <si>
    <t xml:space="preserve">   Lee</t>
  </si>
  <si>
    <t>CY '2015</t>
  </si>
  <si>
    <t>1/1-4/30/16</t>
  </si>
  <si>
    <t>9/1/15-4/30/16</t>
  </si>
  <si>
    <t>5/1-6/30/16</t>
  </si>
  <si>
    <t>9/1/15-6/30/16</t>
  </si>
  <si>
    <t>9/1/15-8/31/16</t>
  </si>
  <si>
    <t>7/1-8/31/16</t>
  </si>
  <si>
    <t>CY'2016</t>
  </si>
  <si>
    <t>9/1-12/31/16</t>
  </si>
  <si>
    <t>1/1-4/30/17</t>
  </si>
  <si>
    <t>9/1/16-4/30/17</t>
  </si>
  <si>
    <t>5/1-6/30/17</t>
  </si>
  <si>
    <t>9/1/16-6/30/17</t>
  </si>
  <si>
    <t>7/1-8/31/17</t>
  </si>
  <si>
    <t>9/1/16-8/31/17</t>
  </si>
  <si>
    <t>Barrels Unfrozen</t>
  </si>
  <si>
    <t>Est 2016</t>
  </si>
  <si>
    <t xml:space="preserve">   Gates-Allen</t>
  </si>
  <si>
    <t xml:space="preserve">   Poinsett</t>
  </si>
  <si>
    <t>Cranberry Marketing Committee (CMC) Total Available Supply and Total Sales</t>
  </si>
  <si>
    <t xml:space="preserve">  Actual Reported and Projected Domestic and Foreign Sales</t>
  </si>
  <si>
    <t xml:space="preserve">Estimated Adjusted Carry-over </t>
  </si>
  <si>
    <t xml:space="preserve">Estimated Carry-In </t>
  </si>
  <si>
    <t>CY'2017</t>
  </si>
  <si>
    <t>9/1-12/31/17</t>
  </si>
  <si>
    <t>1/1-4/30/18</t>
  </si>
  <si>
    <t>5/1-6/30/18</t>
  </si>
  <si>
    <t>7/1-8/31/18</t>
  </si>
  <si>
    <t>2017 Est.</t>
  </si>
  <si>
    <t>*2017 Sales are estimated</t>
  </si>
  <si>
    <t>2018 Crop Year Cranberry Marketing Policy</t>
  </si>
  <si>
    <t>2018 Crop Year</t>
  </si>
  <si>
    <t>CMC Feb 2018 Estimate</t>
  </si>
  <si>
    <t>2017 (for reference)</t>
  </si>
  <si>
    <t>2018 Crop Year Domestic Production Estimate</t>
  </si>
  <si>
    <t xml:space="preserve">2018 Crop Year Cranberry Marketing Policy Worksheet </t>
  </si>
  <si>
    <t>(9/01/2018 - 8/31/2019)</t>
  </si>
  <si>
    <t>Exempt Production</t>
  </si>
  <si>
    <t>Production That will be Restricted</t>
  </si>
  <si>
    <t>Restriction Percentage</t>
  </si>
  <si>
    <t>Total Marketable Production</t>
  </si>
  <si>
    <t>Free Percentage</t>
  </si>
  <si>
    <t>Total Domestic Production from "Cycle Report"</t>
  </si>
  <si>
    <t>Barrel Reduction</t>
  </si>
  <si>
    <t>2017 Domestic Production</t>
  </si>
  <si>
    <t>Free Production</t>
  </si>
  <si>
    <t>Total Sales Histories</t>
  </si>
  <si>
    <t>Estimated Ramp-Up</t>
  </si>
  <si>
    <t>Total Sales History + Ramp-Up</t>
  </si>
  <si>
    <t>1000 Barrels</t>
  </si>
  <si>
    <t xml:space="preserve"> - CMC actuals</t>
  </si>
  <si>
    <t>EST 2018</t>
  </si>
  <si>
    <r>
      <rPr>
        <b/>
        <sz val="10"/>
        <rFont val="Arial"/>
        <family val="2"/>
      </rPr>
      <t>Note</t>
    </r>
    <r>
      <rPr>
        <sz val="10"/>
        <rFont val="Arial"/>
        <family val="2"/>
      </rPr>
      <t>: NASS 2018 updates are not available for the August Meeting</t>
    </r>
  </si>
  <si>
    <t>The 2018 acreage numbers are copied from 2017</t>
  </si>
  <si>
    <t>Note: Sales are estimated by adding the current 1st, 2nd and 3rd cycle sales and 4th cycle sales from the previous year</t>
  </si>
  <si>
    <t>August Committee Forecast</t>
  </si>
  <si>
    <t>CMC Aug 2018 Estimate</t>
  </si>
  <si>
    <t>PA Impact</t>
  </si>
  <si>
    <t>Volume estimated to removed by PA</t>
  </si>
  <si>
    <t>CMC Aug 2018 w/ Regulation</t>
  </si>
  <si>
    <t>Domestic Acquired</t>
  </si>
  <si>
    <t>Estimate of the Handlers that are Exempt</t>
  </si>
  <si>
    <t>Estimate of the Handlers that are Regulated</t>
  </si>
  <si>
    <t>2017 Adjusted</t>
  </si>
  <si>
    <t>2018 Est.</t>
  </si>
  <si>
    <t xml:space="preserve">   Jensen/Gardner</t>
  </si>
  <si>
    <t xml:space="preserve">   Rezin/Rifleman</t>
  </si>
  <si>
    <t xml:space="preserve">   Bussmann/N. Puhl</t>
  </si>
  <si>
    <t xml:space="preserve">   R. Puhl</t>
  </si>
  <si>
    <t xml:space="preserve">   Viano</t>
  </si>
  <si>
    <t xml:space="preserve">   Glenn/Stein</t>
  </si>
  <si>
    <t>Based on Proposed Rule</t>
  </si>
  <si>
    <t>Committee Estimate</t>
  </si>
  <si>
    <t>Portion of Estimate that is Exempt</t>
  </si>
  <si>
    <t>2018 fruit entering the market</t>
  </si>
  <si>
    <t xml:space="preserve"> - </t>
  </si>
  <si>
    <t>Total Sales and Usage</t>
  </si>
  <si>
    <t>Plus</t>
  </si>
  <si>
    <t>Adequate Carry over</t>
  </si>
  <si>
    <t>929.14 "Marketable Quantity means for a crop year the number of pounds of cranberries necessary to meet the total market demand and to provide for an adequate carryover"</t>
  </si>
  <si>
    <t>Total Sales History and Ramp Up</t>
  </si>
  <si>
    <t>Restricted portion of SH + RU</t>
  </si>
  <si>
    <t>Impact of Handler Withhold</t>
  </si>
  <si>
    <t>CMC Estimate</t>
  </si>
  <si>
    <t>Allotment at 75%</t>
  </si>
  <si>
    <t>Line 4 times 75%</t>
  </si>
  <si>
    <t>Line 1 minus Line 6</t>
  </si>
  <si>
    <t>Line 2 plus Line 5</t>
  </si>
  <si>
    <t>Marketable Quantity</t>
  </si>
  <si>
    <t>Line 12</t>
  </si>
  <si>
    <t>Line 13</t>
  </si>
  <si>
    <t>Line 12 + Line 13</t>
  </si>
  <si>
    <t>CMC Aug 2019 Estimate</t>
  </si>
  <si>
    <t>2019 Crop Year Cranberry Marketing Policy</t>
  </si>
  <si>
    <t>CY '2007</t>
  </si>
  <si>
    <t>CY' 2008</t>
  </si>
  <si>
    <t>CY '2009</t>
  </si>
  <si>
    <t>CY' 2010</t>
  </si>
  <si>
    <t>9/1-12/31/07</t>
  </si>
  <si>
    <t>9/1-12/31/08</t>
  </si>
  <si>
    <t>9/1-12/31/09</t>
  </si>
  <si>
    <t>9/1-12/31/10</t>
  </si>
  <si>
    <t>CY ' 2007</t>
  </si>
  <si>
    <t>CY '2008</t>
  </si>
  <si>
    <t>CY ' 2010</t>
  </si>
  <si>
    <t>1/1-4/30/08</t>
  </si>
  <si>
    <t>1/1-4/30/09</t>
  </si>
  <si>
    <t>1/1-4/30/10</t>
  </si>
  <si>
    <t>1/1-4/30/11</t>
  </si>
  <si>
    <t>CY '2010</t>
  </si>
  <si>
    <t>9/1/07-4/30/08</t>
  </si>
  <si>
    <t>9/1/08-4/30/09</t>
  </si>
  <si>
    <t>9/1/09-4/30/10</t>
  </si>
  <si>
    <t>9/1/10-4/30/11</t>
  </si>
  <si>
    <t>5/1-7/31/08</t>
  </si>
  <si>
    <t>5/1-7/31/09</t>
  </si>
  <si>
    <t>5/1-7/31/10</t>
  </si>
  <si>
    <t>5/1-7/31/11</t>
  </si>
  <si>
    <t>9/1/07-7/31/08</t>
  </si>
  <si>
    <t>9/1/08-7/31/09</t>
  </si>
  <si>
    <t>9/1/09-7/31/10</t>
  </si>
  <si>
    <t>9/1/10-7/31/11</t>
  </si>
  <si>
    <t>8/1-8/31/08</t>
  </si>
  <si>
    <t>8/1-8/31/09</t>
  </si>
  <si>
    <t>8/1-8/31/10</t>
  </si>
  <si>
    <t>8/1-8/31/11</t>
  </si>
  <si>
    <t>9/1/07-8/31/08</t>
  </si>
  <si>
    <t>9/1/08-8/31/09</t>
  </si>
  <si>
    <t>9/1/09-8/31/10</t>
  </si>
  <si>
    <t>9/1/10-8/31/11</t>
  </si>
  <si>
    <t>9/1/17-8/31/18</t>
  </si>
  <si>
    <t>9/1/17-6/30/18</t>
  </si>
  <si>
    <t>9/1/17-4/30/18</t>
  </si>
  <si>
    <t>*Domestic Sales is estimated to be inflated by 700,000 barrels, 300,000 barrels based on a handler no longer providing data to the Committee and 400,000 barrels based on an error by Ocean Spray saying that 400,000 barrels were sales when they should have been added to shrink</t>
  </si>
  <si>
    <t>Total Sales = Actual - 700,000 barrels</t>
  </si>
  <si>
    <t>Shrinkage = Actual + 700,000 barrels</t>
  </si>
  <si>
    <t>The Estimated Domestic Production takes into account the changes because of the Producer Allotment</t>
  </si>
  <si>
    <t>* Shrink was increased by 700,000 barrels to reflect the changes in Domestic Sales referenced above</t>
  </si>
  <si>
    <t>* 2017 Sales, Shrinkage, Interhandler Transfers, Foreign Acquisitions, and Carryout Inventory are estimated</t>
  </si>
  <si>
    <t xml:space="preserve">Note:  Total Sales, Shrinkage, Interhandler Transfers, Foreign Acquisitions, and Carryout Inventory are estimated by adding data from 2017 1st, 2nd and 3rd cycle and adding 4th cycle reports from the previous year. </t>
  </si>
</sst>
</file>

<file path=xl/styles.xml><?xml version="1.0" encoding="utf-8"?>
<styleSheet xmlns="http://schemas.openxmlformats.org/spreadsheetml/2006/main">
  <numFmts count="6">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409]mmmm\ d\,\ yyyy;@"/>
  </numFmts>
  <fonts count="66">
    <font>
      <sz val="10"/>
      <name val="Arial"/>
    </font>
    <font>
      <b/>
      <sz val="10"/>
      <name val="Times New Roman"/>
      <family val="1"/>
    </font>
    <font>
      <sz val="10"/>
      <name val="Times New Roman"/>
      <family val="1"/>
    </font>
    <font>
      <b/>
      <sz val="12"/>
      <name val="Times New Roman"/>
      <family val="1"/>
    </font>
    <font>
      <b/>
      <sz val="10"/>
      <name val="Arial"/>
      <family val="2"/>
    </font>
    <font>
      <sz val="8"/>
      <name val="Arial"/>
      <family val="2"/>
    </font>
    <font>
      <sz val="10"/>
      <name val="Arial"/>
      <family val="2"/>
    </font>
    <font>
      <sz val="10"/>
      <name val="Arial"/>
      <family val="2"/>
    </font>
    <font>
      <b/>
      <i/>
      <sz val="10"/>
      <name val="Arial"/>
      <family val="2"/>
    </font>
    <font>
      <sz val="10"/>
      <name val="Arial"/>
      <family val="2"/>
    </font>
    <font>
      <sz val="11"/>
      <name val="Arial"/>
      <family val="2"/>
    </font>
    <font>
      <sz val="10"/>
      <name val="Calibri"/>
      <family val="2"/>
    </font>
    <font>
      <b/>
      <sz val="10"/>
      <name val="Calibri"/>
      <family val="2"/>
    </font>
    <font>
      <b/>
      <u/>
      <sz val="10"/>
      <name val="Calibri"/>
      <family val="2"/>
    </font>
    <font>
      <i/>
      <sz val="10"/>
      <name val="Calibri"/>
      <family val="2"/>
    </font>
    <font>
      <b/>
      <sz val="10"/>
      <color indexed="48"/>
      <name val="Calibri"/>
      <family val="2"/>
    </font>
    <font>
      <sz val="10"/>
      <color indexed="48"/>
      <name val="Calibri"/>
      <family val="2"/>
    </font>
    <font>
      <sz val="10"/>
      <color indexed="10"/>
      <name val="Calibri"/>
      <family val="2"/>
    </font>
    <font>
      <b/>
      <sz val="10"/>
      <color indexed="10"/>
      <name val="Calibri"/>
      <family val="2"/>
    </font>
    <font>
      <b/>
      <u/>
      <sz val="10"/>
      <color indexed="10"/>
      <name val="Calibri"/>
      <family val="2"/>
    </font>
    <font>
      <sz val="10"/>
      <color indexed="9"/>
      <name val="Calibri"/>
      <family val="2"/>
    </font>
    <font>
      <b/>
      <sz val="10"/>
      <color indexed="9"/>
      <name val="Calibri"/>
      <family val="2"/>
    </font>
    <font>
      <b/>
      <sz val="14"/>
      <name val="Times New Roman"/>
      <family val="1"/>
    </font>
    <font>
      <sz val="14"/>
      <name val="Arial"/>
      <family val="2"/>
    </font>
    <font>
      <sz val="14"/>
      <name val="Times New Roman"/>
      <family val="1"/>
    </font>
    <font>
      <b/>
      <sz val="16"/>
      <name val="Times New Roman"/>
      <family val="1"/>
    </font>
    <font>
      <sz val="16"/>
      <name val="Arial"/>
      <family val="2"/>
    </font>
    <font>
      <b/>
      <sz val="20"/>
      <name val="Arial"/>
      <family val="2"/>
    </font>
    <font>
      <b/>
      <sz val="22"/>
      <name val="Times New Roman"/>
      <family val="1"/>
    </font>
    <font>
      <b/>
      <sz val="24"/>
      <name val="Times New Roman"/>
      <family val="1"/>
    </font>
    <font>
      <sz val="24"/>
      <name val="Arial"/>
      <family val="2"/>
    </font>
    <font>
      <b/>
      <i/>
      <sz val="24"/>
      <name val="Arial"/>
      <family val="2"/>
    </font>
    <font>
      <b/>
      <sz val="24"/>
      <name val="Arial"/>
      <family val="2"/>
    </font>
    <font>
      <b/>
      <sz val="26"/>
      <name val="Times New Roman"/>
      <family val="1"/>
    </font>
    <font>
      <sz val="26"/>
      <name val="Times New Roman"/>
      <family val="1"/>
    </font>
    <font>
      <b/>
      <i/>
      <u/>
      <sz val="14"/>
      <name val="Times New Roman"/>
      <family val="1"/>
    </font>
    <font>
      <i/>
      <sz val="14"/>
      <name val="Times New Roman"/>
      <family val="1"/>
    </font>
    <font>
      <b/>
      <i/>
      <sz val="16"/>
      <name val="Times New Roman"/>
      <family val="1"/>
    </font>
    <font>
      <b/>
      <i/>
      <sz val="14"/>
      <name val="Times New Roman"/>
      <family val="1"/>
    </font>
    <font>
      <sz val="11"/>
      <color theme="1"/>
      <name val="Calibri"/>
      <family val="2"/>
      <scheme val="minor"/>
    </font>
    <font>
      <b/>
      <sz val="12"/>
      <color theme="1"/>
      <name val="Times New Roman"/>
      <family val="1"/>
    </font>
    <font>
      <b/>
      <i/>
      <sz val="11"/>
      <color theme="1"/>
      <name val="Times New Roman"/>
      <family val="1"/>
    </font>
    <font>
      <b/>
      <sz val="11"/>
      <color theme="1"/>
      <name val="Times New Roman"/>
      <family val="1"/>
    </font>
    <font>
      <b/>
      <sz val="10"/>
      <color theme="1"/>
      <name val="Times New Roman"/>
      <family val="1"/>
    </font>
    <font>
      <b/>
      <i/>
      <sz val="12"/>
      <color theme="1"/>
      <name val="Times New Roman"/>
      <family val="1"/>
    </font>
    <font>
      <b/>
      <i/>
      <sz val="11"/>
      <color theme="1"/>
      <name val="Calibri"/>
      <family val="2"/>
      <scheme val="minor"/>
    </font>
    <font>
      <b/>
      <sz val="14"/>
      <color theme="1"/>
      <name val="Times New Roman"/>
      <family val="1"/>
    </font>
    <font>
      <sz val="10"/>
      <name val="Calibri"/>
      <family val="2"/>
      <scheme val="minor"/>
    </font>
    <font>
      <i/>
      <sz val="10"/>
      <name val="Calibri"/>
      <family val="2"/>
      <scheme val="minor"/>
    </font>
    <font>
      <sz val="10"/>
      <name val="Arial"/>
      <family val="2"/>
    </font>
    <font>
      <b/>
      <sz val="10"/>
      <name val="Calibri"/>
      <family val="2"/>
      <scheme val="minor"/>
    </font>
    <font>
      <b/>
      <u/>
      <sz val="10"/>
      <name val="Calibri"/>
      <family val="2"/>
      <scheme val="minor"/>
    </font>
    <font>
      <b/>
      <i/>
      <sz val="10"/>
      <name val="Calibri"/>
      <family val="2"/>
      <scheme val="minor"/>
    </font>
    <font>
      <sz val="10"/>
      <color indexed="48"/>
      <name val="Calibri"/>
      <family val="2"/>
      <scheme val="minor"/>
    </font>
    <font>
      <sz val="10"/>
      <name val="Cambria"/>
      <family val="1"/>
      <scheme val="major"/>
    </font>
    <font>
      <b/>
      <i/>
      <sz val="12"/>
      <name val="Times New Roman"/>
      <family val="1"/>
    </font>
    <font>
      <sz val="9"/>
      <color rgb="FF000000"/>
      <name val="Tahoma"/>
      <family val="2"/>
    </font>
    <font>
      <sz val="16"/>
      <name val="Times New Roman"/>
      <family val="1"/>
    </font>
    <font>
      <sz val="18"/>
      <name val="Times New Roman"/>
      <family val="1"/>
    </font>
    <font>
      <b/>
      <sz val="18"/>
      <name val="Times New Roman"/>
      <family val="1"/>
    </font>
    <font>
      <i/>
      <sz val="18"/>
      <name val="Times New Roman"/>
      <family val="1"/>
    </font>
    <font>
      <b/>
      <sz val="14"/>
      <name val="Arial"/>
      <family val="2"/>
    </font>
    <font>
      <i/>
      <sz val="14"/>
      <name val="Arial"/>
      <family val="2"/>
    </font>
    <font>
      <b/>
      <i/>
      <sz val="18"/>
      <color rgb="FFFF0000"/>
      <name val="Times New Roman"/>
      <family val="1"/>
    </font>
    <font>
      <b/>
      <sz val="16"/>
      <color rgb="FFFF0000"/>
      <name val="Times New Roman"/>
      <family val="1"/>
    </font>
    <font>
      <b/>
      <u/>
      <sz val="14"/>
      <color rgb="FFFF0000"/>
      <name val="Times New Roman"/>
      <family val="1"/>
    </font>
  </fonts>
  <fills count="37">
    <fill>
      <patternFill patternType="none"/>
    </fill>
    <fill>
      <patternFill patternType="gray125"/>
    </fill>
    <fill>
      <patternFill patternType="solid">
        <fgColor indexed="15"/>
        <bgColor indexed="64"/>
      </patternFill>
    </fill>
    <fill>
      <patternFill patternType="solid">
        <fgColor indexed="43"/>
        <bgColor indexed="64"/>
      </patternFill>
    </fill>
    <fill>
      <patternFill patternType="solid">
        <fgColor indexed="9"/>
        <bgColor indexed="64"/>
      </patternFill>
    </fill>
    <fill>
      <patternFill patternType="solid">
        <fgColor indexed="29"/>
        <bgColor indexed="64"/>
      </patternFill>
    </fill>
    <fill>
      <patternFill patternType="solid">
        <fgColor indexed="42"/>
        <bgColor indexed="64"/>
      </patternFill>
    </fill>
    <fill>
      <patternFill patternType="solid">
        <fgColor indexed="47"/>
        <bgColor indexed="64"/>
      </patternFill>
    </fill>
    <fill>
      <patternFill patternType="solid">
        <fgColor indexed="60"/>
        <bgColor indexed="64"/>
      </patternFill>
    </fill>
    <fill>
      <patternFill patternType="solid">
        <fgColor rgb="FFFFFF99"/>
        <bgColor indexed="64"/>
      </patternFill>
    </fill>
    <fill>
      <patternFill patternType="solid">
        <fgColor theme="0"/>
        <bgColor indexed="64"/>
      </patternFill>
    </fill>
    <fill>
      <patternFill patternType="solid">
        <fgColor theme="5" tint="0.59996337778862885"/>
        <bgColor indexed="64"/>
      </patternFill>
    </fill>
    <fill>
      <patternFill patternType="solid">
        <fgColor rgb="FFCCFFCC"/>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6" tint="0.39994506668294322"/>
        <bgColor indexed="64"/>
      </patternFill>
    </fill>
    <fill>
      <patternFill patternType="solid">
        <fgColor theme="0" tint="-0.499984740745262"/>
        <bgColor indexed="64"/>
      </patternFill>
    </fill>
    <fill>
      <patternFill patternType="solid">
        <fgColor rgb="FFFF8080"/>
        <bgColor indexed="64"/>
      </patternFill>
    </fill>
    <fill>
      <patternFill patternType="solid">
        <fgColor rgb="FFFFC00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FF7C80"/>
        <bgColor indexed="64"/>
      </patternFill>
    </fill>
    <fill>
      <patternFill patternType="solid">
        <fgColor theme="6"/>
        <bgColor indexed="64"/>
      </patternFill>
    </fill>
    <fill>
      <patternFill patternType="solid">
        <fgColor rgb="FF92D050"/>
        <bgColor indexed="64"/>
      </patternFill>
    </fill>
    <fill>
      <patternFill patternType="solid">
        <fgColor rgb="FF99FF99"/>
        <bgColor indexed="64"/>
      </patternFill>
    </fill>
    <fill>
      <patternFill patternType="solid">
        <fgColor theme="6" tint="0.59996337778862885"/>
        <bgColor indexed="64"/>
      </patternFill>
    </fill>
    <fill>
      <patternFill patternType="solid">
        <fgColor rgb="FFFFCC00"/>
        <bgColor indexed="64"/>
      </patternFill>
    </fill>
    <fill>
      <patternFill patternType="solid">
        <fgColor rgb="FF99FF66"/>
        <bgColor indexed="64"/>
      </patternFill>
    </fill>
    <fill>
      <patternFill patternType="solid">
        <fgColor rgb="FFFFCCFF"/>
        <bgColor indexed="64"/>
      </patternFill>
    </fill>
    <fill>
      <patternFill patternType="solid">
        <fgColor rgb="FF00B050"/>
        <bgColor indexed="64"/>
      </patternFill>
    </fill>
    <fill>
      <patternFill patternType="solid">
        <fgColor theme="4" tint="0.39997558519241921"/>
        <bgColor indexed="64"/>
      </patternFill>
    </fill>
    <fill>
      <patternFill patternType="solid">
        <fgColor rgb="FF99CCFF"/>
        <bgColor indexed="64"/>
      </patternFill>
    </fill>
    <fill>
      <patternFill patternType="solid">
        <fgColor rgb="FFCCECFF"/>
        <bgColor indexed="64"/>
      </patternFill>
    </fill>
    <fill>
      <patternFill patternType="solid">
        <fgColor theme="2" tint="-0.249977111117893"/>
        <bgColor indexed="64"/>
      </patternFill>
    </fill>
    <fill>
      <patternFill patternType="solid">
        <fgColor theme="5" tint="0.79998168889431442"/>
        <bgColor indexed="64"/>
      </patternFill>
    </fill>
  </fills>
  <borders count="60">
    <border>
      <left/>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double">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style="double">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Dashed">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theme="4" tint="0.79998168889431442"/>
      </top>
      <bottom style="thin">
        <color theme="4" tint="0.79998168889431442"/>
      </bottom>
      <diagonal/>
    </border>
    <border>
      <left style="thin">
        <color indexed="64"/>
      </left>
      <right style="thin">
        <color indexed="64"/>
      </right>
      <top style="thin">
        <color theme="4" tint="0.79998168889431442"/>
      </top>
      <bottom style="thin">
        <color theme="4" tint="0.79998168889431442"/>
      </bottom>
      <diagonal/>
    </border>
    <border>
      <left/>
      <right style="thin">
        <color indexed="64"/>
      </right>
      <top style="thin">
        <color theme="4" tint="0.79998168889431442"/>
      </top>
      <bottom style="thin">
        <color indexed="64"/>
      </bottom>
      <diagonal/>
    </border>
    <border>
      <left style="thin">
        <color indexed="64"/>
      </left>
      <right style="thin">
        <color indexed="64"/>
      </right>
      <top style="thin">
        <color theme="4" tint="0.79998168889431442"/>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double">
        <color indexed="64"/>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double">
        <color auto="1"/>
      </left>
      <right style="double">
        <color auto="1"/>
      </right>
      <top style="thin">
        <color indexed="64"/>
      </top>
      <bottom style="thin">
        <color indexed="64"/>
      </bottom>
      <diagonal/>
    </border>
    <border>
      <left style="double">
        <color auto="1"/>
      </left>
      <right style="double">
        <color auto="1"/>
      </right>
      <top/>
      <bottom style="double">
        <color auto="1"/>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double">
        <color indexed="64"/>
      </right>
      <top/>
      <bottom style="thin">
        <color indexed="64"/>
      </bottom>
      <diagonal/>
    </border>
    <border>
      <left style="thin">
        <color indexed="64"/>
      </left>
      <right/>
      <top style="double">
        <color indexed="64"/>
      </top>
      <bottom/>
      <diagonal/>
    </border>
    <border>
      <left/>
      <right style="medium">
        <color indexed="64"/>
      </right>
      <top style="medium">
        <color indexed="64"/>
      </top>
      <bottom/>
      <diagonal/>
    </border>
    <border>
      <left style="thin">
        <color indexed="64"/>
      </left>
      <right/>
      <top style="thin">
        <color theme="4" tint="0.79998168889431442"/>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s>
  <cellStyleXfs count="6">
    <xf numFmtId="0" fontId="0" fillId="0" borderId="0"/>
    <xf numFmtId="43" fontId="9" fillId="0" borderId="0" applyFont="0" applyFill="0" applyBorder="0" applyAlignment="0" applyProtection="0"/>
    <xf numFmtId="43" fontId="39" fillId="0" borderId="0" applyFont="0" applyFill="0" applyBorder="0" applyAlignment="0" applyProtection="0"/>
    <xf numFmtId="0" fontId="39" fillId="0" borderId="0"/>
    <xf numFmtId="9" fontId="7" fillId="0" borderId="0" applyFont="0" applyFill="0" applyBorder="0" applyAlignment="0" applyProtection="0"/>
    <xf numFmtId="44" fontId="49" fillId="0" borderId="0" applyFont="0" applyFill="0" applyBorder="0" applyAlignment="0" applyProtection="0"/>
  </cellStyleXfs>
  <cellXfs count="835">
    <xf numFmtId="0" fontId="0" fillId="0" borderId="0" xfId="0"/>
    <xf numFmtId="0" fontId="2" fillId="0" borderId="0" xfId="0" applyFont="1"/>
    <xf numFmtId="3" fontId="1" fillId="2" borderId="0" xfId="0" applyNumberFormat="1" applyFont="1" applyFill="1" applyBorder="1"/>
    <xf numFmtId="0" fontId="1" fillId="2" borderId="0" xfId="0" applyFont="1" applyFill="1" applyBorder="1" applyAlignment="1">
      <alignment horizontal="right"/>
    </xf>
    <xf numFmtId="0" fontId="1" fillId="2" borderId="0" xfId="0" applyFont="1" applyFill="1" applyBorder="1"/>
    <xf numFmtId="3" fontId="0" fillId="0" borderId="0" xfId="0" applyNumberFormat="1"/>
    <xf numFmtId="0" fontId="40" fillId="0" borderId="0" xfId="0" applyFont="1" applyAlignment="1">
      <alignment horizontal="center" vertical="center" wrapText="1"/>
    </xf>
    <xf numFmtId="0" fontId="41" fillId="0" borderId="0" xfId="0" applyFont="1"/>
    <xf numFmtId="3" fontId="42" fillId="0" borderId="0" xfId="0" applyNumberFormat="1" applyFont="1"/>
    <xf numFmtId="3" fontId="43" fillId="0" borderId="0" xfId="0" applyNumberFormat="1" applyFont="1"/>
    <xf numFmtId="3" fontId="43" fillId="0" borderId="0" xfId="0" applyNumberFormat="1" applyFont="1" applyAlignment="1">
      <alignment vertical="top"/>
    </xf>
    <xf numFmtId="9" fontId="41" fillId="0" borderId="0" xfId="0" applyNumberFormat="1" applyFont="1"/>
    <xf numFmtId="9" fontId="41" fillId="0" borderId="0" xfId="0" applyNumberFormat="1" applyFont="1" applyFill="1" applyBorder="1"/>
    <xf numFmtId="3" fontId="41" fillId="0" borderId="0" xfId="0" applyNumberFormat="1" applyFont="1"/>
    <xf numFmtId="3" fontId="41" fillId="0" borderId="0" xfId="0" applyNumberFormat="1" applyFont="1" applyAlignment="1">
      <alignment vertical="top"/>
    </xf>
    <xf numFmtId="0" fontId="43" fillId="0" borderId="0" xfId="0" applyFont="1"/>
    <xf numFmtId="9" fontId="8" fillId="0" borderId="0" xfId="4" applyFont="1"/>
    <xf numFmtId="0" fontId="44" fillId="0" borderId="0" xfId="0" applyFont="1" applyAlignment="1">
      <alignment horizontal="left" vertical="center" wrapText="1"/>
    </xf>
    <xf numFmtId="1" fontId="12" fillId="0" borderId="1" xfId="0" applyNumberFormat="1" applyFont="1" applyFill="1" applyBorder="1" applyAlignment="1">
      <alignment horizontal="center" vertical="center"/>
    </xf>
    <xf numFmtId="0" fontId="12" fillId="0" borderId="1" xfId="0" applyFont="1" applyBorder="1" applyAlignment="1">
      <alignment horizontal="center"/>
    </xf>
    <xf numFmtId="0" fontId="12" fillId="3" borderId="1" xfId="0" applyFont="1" applyFill="1" applyBorder="1" applyAlignment="1">
      <alignment horizontal="center" vertical="center"/>
    </xf>
    <xf numFmtId="0" fontId="12" fillId="9" borderId="1" xfId="0" applyFont="1" applyFill="1" applyBorder="1" applyAlignment="1">
      <alignment horizontal="center"/>
    </xf>
    <xf numFmtId="3" fontId="12" fillId="10" borderId="1" xfId="0" applyNumberFormat="1" applyFont="1" applyFill="1" applyBorder="1" applyAlignment="1">
      <alignment horizontal="center"/>
    </xf>
    <xf numFmtId="0" fontId="6" fillId="0" borderId="0" xfId="0" applyFont="1"/>
    <xf numFmtId="3" fontId="13" fillId="3" borderId="1" xfId="0" applyNumberFormat="1" applyFont="1" applyFill="1" applyBorder="1" applyAlignment="1">
      <alignment vertical="center"/>
    </xf>
    <xf numFmtId="0" fontId="13" fillId="0" borderId="1" xfId="0" applyFont="1" applyBorder="1" applyAlignment="1">
      <alignment vertical="center"/>
    </xf>
    <xf numFmtId="0" fontId="13" fillId="3" borderId="1" xfId="0" applyFont="1" applyFill="1" applyBorder="1" applyAlignment="1">
      <alignment vertical="center"/>
    </xf>
    <xf numFmtId="0" fontId="13" fillId="9" borderId="1" xfId="0" applyFont="1" applyFill="1" applyBorder="1" applyAlignment="1">
      <alignment vertical="center"/>
    </xf>
    <xf numFmtId="3" fontId="13" fillId="10" borderId="1" xfId="0" applyNumberFormat="1" applyFont="1" applyFill="1" applyBorder="1" applyAlignment="1">
      <alignment vertical="center"/>
    </xf>
    <xf numFmtId="3" fontId="11" fillId="3" borderId="1" xfId="0" applyNumberFormat="1" applyFont="1" applyFill="1" applyBorder="1" applyAlignment="1">
      <alignment vertical="center"/>
    </xf>
    <xf numFmtId="3" fontId="11" fillId="0" borderId="1" xfId="0" applyNumberFormat="1" applyFont="1" applyBorder="1" applyAlignment="1">
      <alignment vertical="center"/>
    </xf>
    <xf numFmtId="3" fontId="11" fillId="9" borderId="1" xfId="0" applyNumberFormat="1" applyFont="1" applyFill="1" applyBorder="1" applyAlignment="1">
      <alignment vertical="center"/>
    </xf>
    <xf numFmtId="3" fontId="11" fillId="10" borderId="1" xfId="0" applyNumberFormat="1" applyFont="1" applyFill="1" applyBorder="1" applyAlignment="1">
      <alignment vertical="center"/>
    </xf>
    <xf numFmtId="3" fontId="11" fillId="0" borderId="1" xfId="0" applyNumberFormat="1" applyFont="1" applyFill="1" applyBorder="1" applyAlignment="1">
      <alignment vertical="center"/>
    </xf>
    <xf numFmtId="3" fontId="12" fillId="0" borderId="1" xfId="0" applyNumberFormat="1" applyFont="1" applyFill="1" applyBorder="1" applyAlignment="1">
      <alignment vertical="center"/>
    </xf>
    <xf numFmtId="3" fontId="12" fillId="3" borderId="1" xfId="0" applyNumberFormat="1" applyFont="1" applyFill="1" applyBorder="1" applyAlignment="1">
      <alignment vertical="center"/>
    </xf>
    <xf numFmtId="3" fontId="12" fillId="9" borderId="1" xfId="0" applyNumberFormat="1" applyFont="1" applyFill="1" applyBorder="1" applyAlignment="1">
      <alignment vertical="center"/>
    </xf>
    <xf numFmtId="3" fontId="12" fillId="10" borderId="1" xfId="0" applyNumberFormat="1" applyFont="1" applyFill="1" applyBorder="1" applyAlignment="1">
      <alignment vertical="center"/>
    </xf>
    <xf numFmtId="9" fontId="8" fillId="11" borderId="1" xfId="4" applyFont="1" applyFill="1" applyBorder="1" applyAlignment="1">
      <alignment vertical="center"/>
    </xf>
    <xf numFmtId="3" fontId="13" fillId="0" borderId="1" xfId="0" applyNumberFormat="1" applyFont="1" applyBorder="1" applyAlignment="1">
      <alignment vertical="center"/>
    </xf>
    <xf numFmtId="3" fontId="13" fillId="9" borderId="1" xfId="0" applyNumberFormat="1" applyFont="1" applyFill="1" applyBorder="1" applyAlignment="1">
      <alignment vertical="center"/>
    </xf>
    <xf numFmtId="3" fontId="14" fillId="9" borderId="1" xfId="0" applyNumberFormat="1" applyFont="1" applyFill="1" applyBorder="1" applyAlignment="1">
      <alignment vertical="center"/>
    </xf>
    <xf numFmtId="0" fontId="11" fillId="0" borderId="1" xfId="0" applyFont="1" applyBorder="1" applyAlignment="1">
      <alignment vertical="center"/>
    </xf>
    <xf numFmtId="3" fontId="16" fillId="0" borderId="1" xfId="0" applyNumberFormat="1" applyFont="1" applyFill="1" applyBorder="1" applyAlignment="1">
      <alignment horizontal="right"/>
    </xf>
    <xf numFmtId="0" fontId="12" fillId="6" borderId="1" xfId="0" applyFont="1" applyFill="1" applyBorder="1" applyAlignment="1">
      <alignment horizontal="center"/>
    </xf>
    <xf numFmtId="3" fontId="13" fillId="6" borderId="1" xfId="0" applyNumberFormat="1" applyFont="1" applyFill="1" applyBorder="1" applyAlignment="1">
      <alignment vertical="center"/>
    </xf>
    <xf numFmtId="0" fontId="13" fillId="6" borderId="1" xfId="0" applyFont="1" applyFill="1" applyBorder="1" applyAlignment="1">
      <alignment vertical="center"/>
    </xf>
    <xf numFmtId="0" fontId="13" fillId="12" borderId="1" xfId="0" applyFont="1" applyFill="1" applyBorder="1" applyAlignment="1">
      <alignment vertical="center"/>
    </xf>
    <xf numFmtId="3" fontId="11" fillId="6" borderId="1" xfId="0" applyNumberFormat="1" applyFont="1" applyFill="1" applyBorder="1" applyAlignment="1">
      <alignment vertical="center"/>
    </xf>
    <xf numFmtId="3" fontId="11" fillId="12" borderId="1" xfId="0" applyNumberFormat="1" applyFont="1" applyFill="1" applyBorder="1" applyAlignment="1">
      <alignment vertical="center"/>
    </xf>
    <xf numFmtId="3" fontId="12" fillId="0" borderId="1" xfId="0" applyNumberFormat="1" applyFont="1" applyBorder="1" applyAlignment="1">
      <alignment vertical="center"/>
    </xf>
    <xf numFmtId="3" fontId="12" fillId="6" borderId="1" xfId="0" applyNumberFormat="1" applyFont="1" applyFill="1" applyBorder="1" applyAlignment="1">
      <alignment vertical="center"/>
    </xf>
    <xf numFmtId="3" fontId="12" fillId="12" borderId="1" xfId="0" applyNumberFormat="1" applyFont="1" applyFill="1" applyBorder="1" applyAlignment="1">
      <alignment vertical="center"/>
    </xf>
    <xf numFmtId="0" fontId="12" fillId="0" borderId="1" xfId="0" applyFont="1" applyBorder="1" applyAlignment="1">
      <alignment vertical="center"/>
    </xf>
    <xf numFmtId="0" fontId="11" fillId="0" borderId="1" xfId="0" applyFont="1" applyFill="1" applyBorder="1" applyAlignment="1">
      <alignment vertical="center"/>
    </xf>
    <xf numFmtId="3" fontId="13" fillId="12" borderId="1" xfId="0" applyNumberFormat="1" applyFont="1" applyFill="1" applyBorder="1" applyAlignment="1">
      <alignment vertical="center"/>
    </xf>
    <xf numFmtId="0" fontId="13" fillId="0" borderId="1" xfId="0" applyFont="1" applyFill="1" applyBorder="1" applyAlignment="1">
      <alignment vertical="center"/>
    </xf>
    <xf numFmtId="0" fontId="12" fillId="0" borderId="1" xfId="0" applyFont="1" applyFill="1" applyBorder="1" applyAlignment="1">
      <alignment vertical="center"/>
    </xf>
    <xf numFmtId="3" fontId="16" fillId="0" borderId="1" xfId="0" applyNumberFormat="1" applyFont="1" applyFill="1" applyBorder="1" applyAlignment="1">
      <alignment horizontal="right" vertical="center"/>
    </xf>
    <xf numFmtId="1" fontId="12" fillId="2" borderId="1" xfId="0" applyNumberFormat="1" applyFont="1" applyFill="1" applyBorder="1" applyAlignment="1">
      <alignment horizontal="center" vertical="center"/>
    </xf>
    <xf numFmtId="0" fontId="12" fillId="2" borderId="1" xfId="0" applyFont="1" applyFill="1" applyBorder="1" applyAlignment="1">
      <alignment horizontal="center" vertical="center"/>
    </xf>
    <xf numFmtId="3" fontId="11" fillId="0" borderId="1" xfId="0" applyNumberFormat="1" applyFont="1" applyFill="1" applyBorder="1" applyAlignment="1">
      <alignment horizontal="center" vertical="center"/>
    </xf>
    <xf numFmtId="3" fontId="18" fillId="0" borderId="1" xfId="0" applyNumberFormat="1" applyFont="1" applyFill="1" applyBorder="1" applyAlignment="1">
      <alignment vertical="center"/>
    </xf>
    <xf numFmtId="0" fontId="18" fillId="0" borderId="1" xfId="0" applyFont="1" applyFill="1" applyBorder="1" applyAlignment="1">
      <alignment vertical="center"/>
    </xf>
    <xf numFmtId="0" fontId="12" fillId="0" borderId="2" xfId="0" applyFont="1" applyBorder="1" applyAlignment="1">
      <alignment vertical="center"/>
    </xf>
    <xf numFmtId="0" fontId="11" fillId="0" borderId="2" xfId="0" applyFont="1" applyBorder="1" applyAlignment="1">
      <alignment vertical="center"/>
    </xf>
    <xf numFmtId="3" fontId="12" fillId="0" borderId="1" xfId="0" applyNumberFormat="1" applyFont="1" applyFill="1" applyBorder="1" applyAlignment="1">
      <alignment horizontal="right" vertical="center"/>
    </xf>
    <xf numFmtId="0" fontId="12" fillId="0" borderId="2" xfId="0" applyFont="1" applyFill="1" applyBorder="1" applyAlignment="1">
      <alignment vertical="center"/>
    </xf>
    <xf numFmtId="3" fontId="15" fillId="0" borderId="1" xfId="0" applyNumberFormat="1" applyFont="1" applyFill="1" applyBorder="1" applyAlignment="1">
      <alignment horizontal="right" vertical="center"/>
    </xf>
    <xf numFmtId="0" fontId="15" fillId="0" borderId="2" xfId="0" applyFont="1" applyBorder="1"/>
    <xf numFmtId="0" fontId="12" fillId="13" borderId="1" xfId="0" applyFont="1" applyFill="1" applyBorder="1" applyAlignment="1">
      <alignment horizontal="center"/>
    </xf>
    <xf numFmtId="0" fontId="12" fillId="13" borderId="1" xfId="0" applyFont="1" applyFill="1" applyBorder="1" applyAlignment="1">
      <alignment horizontal="center" vertical="center"/>
    </xf>
    <xf numFmtId="0" fontId="12" fillId="0" borderId="3" xfId="0" applyFont="1" applyBorder="1" applyAlignment="1">
      <alignment horizontal="center"/>
    </xf>
    <xf numFmtId="0" fontId="12" fillId="10" borderId="1" xfId="0" applyFont="1" applyFill="1" applyBorder="1" applyAlignment="1">
      <alignment horizontal="center"/>
    </xf>
    <xf numFmtId="3" fontId="13" fillId="13" borderId="1" xfId="0" applyNumberFormat="1" applyFont="1" applyFill="1" applyBorder="1" applyAlignment="1">
      <alignment vertical="center"/>
    </xf>
    <xf numFmtId="0" fontId="13" fillId="13" borderId="1" xfId="0" applyFont="1" applyFill="1" applyBorder="1" applyAlignment="1">
      <alignment vertical="center"/>
    </xf>
    <xf numFmtId="0" fontId="13" fillId="0" borderId="3" xfId="0" applyFont="1" applyBorder="1" applyAlignment="1">
      <alignment vertical="center"/>
    </xf>
    <xf numFmtId="3" fontId="11" fillId="13" borderId="1" xfId="0" applyNumberFormat="1" applyFont="1" applyFill="1" applyBorder="1" applyAlignment="1">
      <alignment vertical="center"/>
    </xf>
    <xf numFmtId="3" fontId="11" fillId="0" borderId="37" xfId="0" applyNumberFormat="1" applyFont="1" applyBorder="1" applyAlignment="1">
      <alignment vertical="center"/>
    </xf>
    <xf numFmtId="3" fontId="11" fillId="10" borderId="37" xfId="0" applyNumberFormat="1" applyFont="1" applyFill="1" applyBorder="1" applyAlignment="1">
      <alignment vertical="center"/>
    </xf>
    <xf numFmtId="3" fontId="11" fillId="13" borderId="38" xfId="0" applyNumberFormat="1" applyFont="1" applyFill="1" applyBorder="1" applyAlignment="1">
      <alignment vertical="center"/>
    </xf>
    <xf numFmtId="0" fontId="11" fillId="13" borderId="1" xfId="0" applyFont="1" applyFill="1" applyBorder="1" applyAlignment="1">
      <alignment vertical="center"/>
    </xf>
    <xf numFmtId="3" fontId="12" fillId="13" borderId="1" xfId="0" applyNumberFormat="1" applyFont="1" applyFill="1" applyBorder="1" applyAlignment="1">
      <alignment vertical="center"/>
    </xf>
    <xf numFmtId="3" fontId="12" fillId="10" borderId="37" xfId="0" applyNumberFormat="1" applyFont="1" applyFill="1" applyBorder="1" applyAlignment="1">
      <alignment vertical="center"/>
    </xf>
    <xf numFmtId="3" fontId="12" fillId="13" borderId="38" xfId="0" applyNumberFormat="1" applyFont="1" applyFill="1" applyBorder="1" applyAlignment="1">
      <alignment vertical="center"/>
    </xf>
    <xf numFmtId="0" fontId="11" fillId="10" borderId="37" xfId="0" applyFont="1" applyFill="1" applyBorder="1" applyAlignment="1">
      <alignment vertical="center"/>
    </xf>
    <xf numFmtId="0" fontId="13" fillId="10" borderId="37" xfId="0" applyFont="1" applyFill="1" applyBorder="1" applyAlignment="1">
      <alignment vertical="center"/>
    </xf>
    <xf numFmtId="3" fontId="13" fillId="10" borderId="37" xfId="0" applyNumberFormat="1" applyFont="1" applyFill="1" applyBorder="1" applyAlignment="1">
      <alignment vertical="center"/>
    </xf>
    <xf numFmtId="0" fontId="12" fillId="2" borderId="1" xfId="0" applyFont="1" applyFill="1" applyBorder="1" applyAlignment="1">
      <alignment horizontal="center"/>
    </xf>
    <xf numFmtId="0" fontId="12" fillId="2" borderId="2" xfId="0" applyFont="1" applyFill="1" applyBorder="1" applyAlignment="1">
      <alignment horizontal="center"/>
    </xf>
    <xf numFmtId="3" fontId="19" fillId="0" borderId="1" xfId="0" applyNumberFormat="1" applyFont="1" applyFill="1" applyBorder="1" applyAlignment="1">
      <alignment vertical="center"/>
    </xf>
    <xf numFmtId="0" fontId="19" fillId="0" borderId="1" xfId="0" applyFont="1" applyFill="1" applyBorder="1" applyAlignment="1">
      <alignment vertical="center"/>
    </xf>
    <xf numFmtId="0" fontId="13" fillId="0" borderId="2" xfId="0" applyFont="1" applyBorder="1" applyAlignment="1">
      <alignment vertical="center"/>
    </xf>
    <xf numFmtId="3" fontId="11" fillId="0" borderId="3" xfId="0" applyNumberFormat="1" applyFont="1" applyBorder="1" applyAlignment="1">
      <alignment vertical="center"/>
    </xf>
    <xf numFmtId="3" fontId="11" fillId="0" borderId="2" xfId="0" applyNumberFormat="1" applyFont="1" applyBorder="1" applyAlignment="1">
      <alignment vertical="center"/>
    </xf>
    <xf numFmtId="3" fontId="12" fillId="0" borderId="3" xfId="0" applyNumberFormat="1" applyFont="1" applyFill="1" applyBorder="1" applyAlignment="1">
      <alignment vertical="center"/>
    </xf>
    <xf numFmtId="3" fontId="13" fillId="0" borderId="2" xfId="0" applyNumberFormat="1" applyFont="1" applyBorder="1" applyAlignment="1">
      <alignment vertical="center"/>
    </xf>
    <xf numFmtId="3" fontId="12" fillId="0" borderId="3" xfId="0" applyNumberFormat="1" applyFont="1" applyBorder="1" applyAlignment="1">
      <alignment vertical="center"/>
    </xf>
    <xf numFmtId="3" fontId="13" fillId="0" borderId="3" xfId="0" applyNumberFormat="1" applyFont="1" applyBorder="1" applyAlignment="1">
      <alignment vertical="center"/>
    </xf>
    <xf numFmtId="3" fontId="16" fillId="0" borderId="3" xfId="0" applyNumberFormat="1" applyFont="1" applyFill="1" applyBorder="1" applyAlignment="1">
      <alignment horizontal="right" vertical="center"/>
    </xf>
    <xf numFmtId="10" fontId="11" fillId="0" borderId="1" xfId="0" applyNumberFormat="1" applyFont="1" applyBorder="1"/>
    <xf numFmtId="0" fontId="12" fillId="7" borderId="2" xfId="0" applyFont="1" applyFill="1" applyBorder="1" applyAlignment="1">
      <alignment horizontal="center"/>
    </xf>
    <xf numFmtId="0" fontId="12" fillId="14" borderId="1" xfId="0" applyFont="1" applyFill="1" applyBorder="1" applyAlignment="1">
      <alignment horizontal="center"/>
    </xf>
    <xf numFmtId="0" fontId="13" fillId="14" borderId="2" xfId="0" applyFont="1" applyFill="1" applyBorder="1" applyAlignment="1">
      <alignment vertical="center"/>
    </xf>
    <xf numFmtId="3" fontId="11" fillId="7" borderId="1" xfId="0" applyNumberFormat="1" applyFont="1" applyFill="1" applyBorder="1" applyAlignment="1">
      <alignment vertical="center"/>
    </xf>
    <xf numFmtId="3" fontId="11" fillId="14" borderId="2" xfId="0" applyNumberFormat="1" applyFont="1" applyFill="1" applyBorder="1" applyAlignment="1">
      <alignment vertical="center"/>
    </xf>
    <xf numFmtId="3" fontId="11" fillId="14" borderId="1" xfId="0" applyNumberFormat="1" applyFont="1" applyFill="1" applyBorder="1" applyAlignment="1">
      <alignment vertical="center"/>
    </xf>
    <xf numFmtId="3" fontId="12" fillId="14" borderId="1" xfId="0" applyNumberFormat="1" applyFont="1" applyFill="1" applyBorder="1" applyAlignment="1">
      <alignment vertical="center"/>
    </xf>
    <xf numFmtId="3" fontId="11" fillId="7" borderId="2" xfId="0" applyNumberFormat="1" applyFont="1" applyFill="1" applyBorder="1" applyAlignment="1">
      <alignment vertical="center"/>
    </xf>
    <xf numFmtId="0" fontId="11" fillId="14" borderId="1" xfId="0" applyFont="1" applyFill="1" applyBorder="1" applyAlignment="1">
      <alignment vertical="center"/>
    </xf>
    <xf numFmtId="3" fontId="12" fillId="7" borderId="1" xfId="0" applyNumberFormat="1" applyFont="1" applyFill="1" applyBorder="1" applyAlignment="1">
      <alignment horizontal="right" vertical="center"/>
    </xf>
    <xf numFmtId="3" fontId="12" fillId="7" borderId="1" xfId="0" applyNumberFormat="1" applyFont="1" applyFill="1" applyBorder="1" applyAlignment="1">
      <alignment vertical="center"/>
    </xf>
    <xf numFmtId="0" fontId="11" fillId="7" borderId="2" xfId="0" applyFont="1" applyFill="1" applyBorder="1" applyAlignment="1">
      <alignment vertical="center"/>
    </xf>
    <xf numFmtId="0" fontId="13" fillId="7" borderId="2" xfId="0" applyFont="1" applyFill="1" applyBorder="1" applyAlignment="1">
      <alignment vertical="center"/>
    </xf>
    <xf numFmtId="3" fontId="13" fillId="0" borderId="1" xfId="0" applyNumberFormat="1" applyFont="1" applyFill="1" applyBorder="1" applyAlignment="1">
      <alignment vertical="center"/>
    </xf>
    <xf numFmtId="3" fontId="13" fillId="14" borderId="1" xfId="0" applyNumberFormat="1" applyFont="1" applyFill="1" applyBorder="1" applyAlignment="1">
      <alignment vertical="center"/>
    </xf>
    <xf numFmtId="3" fontId="12" fillId="10" borderId="1" xfId="0" applyNumberFormat="1" applyFont="1" applyFill="1" applyBorder="1" applyAlignment="1">
      <alignment horizontal="right" vertical="center"/>
    </xf>
    <xf numFmtId="3" fontId="12" fillId="14" borderId="1" xfId="0" applyNumberFormat="1" applyFont="1" applyFill="1" applyBorder="1" applyAlignment="1">
      <alignment horizontal="right" vertical="center"/>
    </xf>
    <xf numFmtId="3" fontId="13" fillId="7" borderId="2" xfId="0" applyNumberFormat="1" applyFont="1" applyFill="1" applyBorder="1" applyAlignment="1">
      <alignment vertical="center"/>
    </xf>
    <xf numFmtId="0" fontId="12" fillId="2" borderId="0" xfId="0" applyFont="1" applyFill="1" applyBorder="1" applyAlignment="1">
      <alignment horizontal="center"/>
    </xf>
    <xf numFmtId="0" fontId="19" fillId="0" borderId="3" xfId="0" applyFont="1" applyFill="1" applyBorder="1" applyAlignment="1">
      <alignment vertical="center"/>
    </xf>
    <xf numFmtId="3" fontId="11" fillId="10" borderId="3" xfId="0" applyNumberFormat="1" applyFont="1" applyFill="1" applyBorder="1" applyAlignment="1">
      <alignment vertical="center"/>
    </xf>
    <xf numFmtId="3" fontId="12" fillId="10" borderId="3" xfId="0" applyNumberFormat="1" applyFont="1" applyFill="1" applyBorder="1" applyAlignment="1">
      <alignment vertical="center"/>
    </xf>
    <xf numFmtId="3" fontId="12" fillId="0" borderId="3" xfId="0" applyNumberFormat="1" applyFont="1" applyFill="1" applyBorder="1" applyAlignment="1">
      <alignment horizontal="right" vertical="center"/>
    </xf>
    <xf numFmtId="3" fontId="16" fillId="0" borderId="3" xfId="0" applyNumberFormat="1" applyFont="1" applyFill="1" applyBorder="1" applyAlignment="1">
      <alignment horizontal="right"/>
    </xf>
    <xf numFmtId="3" fontId="16" fillId="10" borderId="1" xfId="0" applyNumberFormat="1" applyFont="1" applyFill="1" applyBorder="1" applyAlignment="1">
      <alignment horizontal="right"/>
    </xf>
    <xf numFmtId="0" fontId="11" fillId="0" borderId="2" xfId="0" applyFont="1" applyBorder="1"/>
    <xf numFmtId="0" fontId="11" fillId="0" borderId="1" xfId="0" applyFont="1" applyBorder="1"/>
    <xf numFmtId="1" fontId="21" fillId="8" borderId="1" xfId="0" applyNumberFormat="1" applyFont="1" applyFill="1" applyBorder="1" applyAlignment="1">
      <alignment horizontal="center" vertical="center"/>
    </xf>
    <xf numFmtId="0" fontId="21" fillId="8" borderId="0" xfId="0" applyFont="1" applyFill="1" applyBorder="1" applyAlignment="1">
      <alignment horizontal="center"/>
    </xf>
    <xf numFmtId="0" fontId="21" fillId="8" borderId="1" xfId="0" applyFont="1" applyFill="1" applyBorder="1" applyAlignment="1">
      <alignment horizontal="center"/>
    </xf>
    <xf numFmtId="0" fontId="21" fillId="8" borderId="2" xfId="0" applyFont="1" applyFill="1" applyBorder="1" applyAlignment="1">
      <alignment horizontal="center"/>
    </xf>
    <xf numFmtId="3" fontId="11" fillId="0" borderId="2" xfId="0" applyNumberFormat="1" applyFont="1" applyBorder="1"/>
    <xf numFmtId="3" fontId="11" fillId="0" borderId="1" xfId="0" applyNumberFormat="1" applyFont="1" applyBorder="1"/>
    <xf numFmtId="0" fontId="12" fillId="12" borderId="1" xfId="0" applyFont="1" applyFill="1" applyBorder="1" applyAlignment="1">
      <alignment horizontal="center"/>
    </xf>
    <xf numFmtId="0" fontId="4" fillId="0" borderId="0" xfId="0" applyFont="1"/>
    <xf numFmtId="10" fontId="11" fillId="15" borderId="1" xfId="0" applyNumberFormat="1" applyFont="1" applyFill="1" applyBorder="1"/>
    <xf numFmtId="3" fontId="11" fillId="0" borderId="3" xfId="0" applyNumberFormat="1" applyFont="1" applyFill="1" applyBorder="1" applyAlignment="1">
      <alignment horizontal="center" vertical="center"/>
    </xf>
    <xf numFmtId="0" fontId="11" fillId="3" borderId="1" xfId="0" applyFont="1" applyFill="1" applyBorder="1" applyAlignment="1">
      <alignment horizontal="center" vertical="center"/>
    </xf>
    <xf numFmtId="0" fontId="11" fillId="10" borderId="1" xfId="0" applyFont="1" applyFill="1" applyBorder="1" applyAlignment="1">
      <alignment horizontal="center" vertical="center"/>
    </xf>
    <xf numFmtId="0" fontId="11" fillId="0" borderId="1" xfId="0" applyFont="1" applyFill="1" applyBorder="1" applyAlignment="1">
      <alignment horizontal="center" vertical="center"/>
    </xf>
    <xf numFmtId="0" fontId="11" fillId="9" borderId="1" xfId="0" applyFont="1" applyFill="1" applyBorder="1" applyAlignment="1">
      <alignment horizontal="center" vertical="center"/>
    </xf>
    <xf numFmtId="3" fontId="11" fillId="10" borderId="1" xfId="0" applyNumberFormat="1" applyFont="1" applyFill="1" applyBorder="1" applyAlignment="1">
      <alignment horizontal="center" vertical="center"/>
    </xf>
    <xf numFmtId="3" fontId="11" fillId="6" borderId="1" xfId="0" applyNumberFormat="1" applyFont="1" applyFill="1" applyBorder="1" applyAlignment="1">
      <alignment horizontal="center" vertical="center"/>
    </xf>
    <xf numFmtId="3" fontId="11" fillId="12" borderId="1" xfId="0" applyNumberFormat="1" applyFont="1" applyFill="1" applyBorder="1" applyAlignment="1">
      <alignment horizontal="center" vertical="center"/>
    </xf>
    <xf numFmtId="3" fontId="11" fillId="13" borderId="1" xfId="0" applyNumberFormat="1" applyFont="1" applyFill="1" applyBorder="1" applyAlignment="1">
      <alignment horizontal="center" vertical="center"/>
    </xf>
    <xf numFmtId="3" fontId="11" fillId="7" borderId="1" xfId="0" applyNumberFormat="1" applyFont="1" applyFill="1" applyBorder="1" applyAlignment="1">
      <alignment horizontal="center" vertical="center"/>
    </xf>
    <xf numFmtId="3" fontId="11" fillId="14" borderId="1" xfId="0" applyNumberFormat="1" applyFont="1" applyFill="1" applyBorder="1" applyAlignment="1">
      <alignment horizontal="center" vertical="center"/>
    </xf>
    <xf numFmtId="9" fontId="8" fillId="11" borderId="2" xfId="4" applyFont="1" applyFill="1" applyBorder="1" applyAlignment="1">
      <alignment vertical="center"/>
    </xf>
    <xf numFmtId="0" fontId="6" fillId="16" borderId="0" xfId="0" applyFont="1" applyFill="1"/>
    <xf numFmtId="0" fontId="0" fillId="16" borderId="0" xfId="0" applyFill="1"/>
    <xf numFmtId="0" fontId="20" fillId="8" borderId="2" xfId="0" applyFont="1" applyFill="1" applyBorder="1"/>
    <xf numFmtId="0" fontId="11" fillId="15" borderId="2" xfId="0" applyFont="1" applyFill="1" applyBorder="1"/>
    <xf numFmtId="0" fontId="11" fillId="0" borderId="4" xfId="0" applyFont="1" applyBorder="1"/>
    <xf numFmtId="3" fontId="11" fillId="0" borderId="5" xfId="0" applyNumberFormat="1" applyFont="1" applyBorder="1"/>
    <xf numFmtId="0" fontId="12" fillId="16" borderId="6" xfId="0" applyFont="1" applyFill="1" applyBorder="1" applyAlignment="1">
      <alignment vertical="center"/>
    </xf>
    <xf numFmtId="10" fontId="11" fillId="16" borderId="7" xfId="0" applyNumberFormat="1" applyFont="1" applyFill="1" applyBorder="1"/>
    <xf numFmtId="0" fontId="12" fillId="16" borderId="7" xfId="0" applyFont="1" applyFill="1" applyBorder="1" applyAlignment="1">
      <alignment vertical="center"/>
    </xf>
    <xf numFmtId="0" fontId="12" fillId="16" borderId="8" xfId="0" applyFont="1" applyFill="1" applyBorder="1" applyAlignment="1">
      <alignment vertical="center"/>
    </xf>
    <xf numFmtId="0" fontId="12" fillId="2" borderId="2" xfId="0" applyFont="1" applyFill="1" applyBorder="1"/>
    <xf numFmtId="0" fontId="13" fillId="0" borderId="0" xfId="0" applyFont="1" applyBorder="1" applyAlignment="1">
      <alignment vertical="center"/>
    </xf>
    <xf numFmtId="0" fontId="12" fillId="15" borderId="4" xfId="0" applyFont="1" applyFill="1" applyBorder="1" applyAlignment="1">
      <alignment vertical="center"/>
    </xf>
    <xf numFmtId="10" fontId="11" fillId="15" borderId="5" xfId="0" applyNumberFormat="1" applyFont="1" applyFill="1" applyBorder="1" applyAlignment="1">
      <alignment vertical="center"/>
    </xf>
    <xf numFmtId="10" fontId="11" fillId="15" borderId="9" xfId="0" applyNumberFormat="1" applyFont="1" applyFill="1" applyBorder="1" applyAlignment="1">
      <alignment vertical="center"/>
    </xf>
    <xf numFmtId="0" fontId="12" fillId="0" borderId="2" xfId="0" applyFont="1" applyBorder="1"/>
    <xf numFmtId="0" fontId="15" fillId="0" borderId="4" xfId="0" applyFont="1" applyBorder="1"/>
    <xf numFmtId="3" fontId="16" fillId="0" borderId="5" xfId="0" applyNumberFormat="1" applyFont="1" applyFill="1" applyBorder="1" applyAlignment="1">
      <alignment horizontal="right" vertical="center"/>
    </xf>
    <xf numFmtId="3" fontId="16" fillId="0" borderId="5" xfId="0" applyNumberFormat="1" applyFont="1" applyBorder="1" applyAlignment="1">
      <alignment horizontal="right" vertical="center"/>
    </xf>
    <xf numFmtId="3" fontId="12" fillId="0" borderId="2" xfId="0" applyNumberFormat="1" applyFont="1" applyBorder="1" applyAlignment="1">
      <alignment vertical="center"/>
    </xf>
    <xf numFmtId="0" fontId="16" fillId="0" borderId="2" xfId="0" applyFont="1" applyBorder="1"/>
    <xf numFmtId="10" fontId="11" fillId="15" borderId="5" xfId="0" applyNumberFormat="1" applyFont="1" applyFill="1" applyBorder="1"/>
    <xf numFmtId="10" fontId="11" fillId="15" borderId="9" xfId="0" applyNumberFormat="1" applyFont="1" applyFill="1" applyBorder="1"/>
    <xf numFmtId="10" fontId="11" fillId="16" borderId="7" xfId="0" applyNumberFormat="1" applyFont="1" applyFill="1" applyBorder="1" applyAlignment="1">
      <alignment vertical="center"/>
    </xf>
    <xf numFmtId="0" fontId="16" fillId="0" borderId="4" xfId="0" applyFont="1" applyBorder="1"/>
    <xf numFmtId="3" fontId="16" fillId="0" borderId="39" xfId="0" applyNumberFormat="1" applyFont="1" applyFill="1" applyBorder="1" applyAlignment="1">
      <alignment horizontal="right" vertical="center"/>
    </xf>
    <xf numFmtId="3" fontId="16" fillId="0" borderId="40" xfId="0" applyNumberFormat="1" applyFont="1" applyFill="1" applyBorder="1" applyAlignment="1">
      <alignment horizontal="right" vertical="center"/>
    </xf>
    <xf numFmtId="0" fontId="12" fillId="2" borderId="2" xfId="0" applyFont="1" applyFill="1" applyBorder="1" applyAlignment="1">
      <alignment vertical="center"/>
    </xf>
    <xf numFmtId="0" fontId="17" fillId="0" borderId="2" xfId="0" applyFont="1" applyBorder="1" applyAlignment="1">
      <alignment vertical="center"/>
    </xf>
    <xf numFmtId="0" fontId="12" fillId="0" borderId="2" xfId="0" applyFont="1" applyBorder="1" applyAlignment="1">
      <alignment horizontal="left" vertical="center"/>
    </xf>
    <xf numFmtId="0" fontId="15" fillId="0" borderId="4" xfId="0" applyFont="1" applyFill="1" applyBorder="1"/>
    <xf numFmtId="0" fontId="14" fillId="0" borderId="2" xfId="0" applyFont="1" applyBorder="1" applyAlignment="1">
      <alignment vertical="center"/>
    </xf>
    <xf numFmtId="3" fontId="16" fillId="0" borderId="5" xfId="0" applyNumberFormat="1" applyFont="1" applyFill="1" applyBorder="1" applyAlignment="1">
      <alignment horizontal="right"/>
    </xf>
    <xf numFmtId="9" fontId="6" fillId="0" borderId="0" xfId="4" applyFont="1"/>
    <xf numFmtId="0" fontId="23" fillId="0" borderId="0" xfId="0" applyFont="1"/>
    <xf numFmtId="0" fontId="26" fillId="0" borderId="0" xfId="0" applyFont="1"/>
    <xf numFmtId="0" fontId="23" fillId="0" borderId="0" xfId="0" applyFont="1" applyBorder="1"/>
    <xf numFmtId="0" fontId="30" fillId="0" borderId="0" xfId="0" applyFont="1"/>
    <xf numFmtId="0" fontId="29" fillId="0" borderId="11" xfId="0" applyNumberFormat="1" applyFont="1" applyBorder="1" applyAlignment="1">
      <alignment horizontal="center" wrapText="1"/>
    </xf>
    <xf numFmtId="0" fontId="29" fillId="0" borderId="0" xfId="0" applyNumberFormat="1" applyFont="1" applyBorder="1" applyAlignment="1">
      <alignment horizontal="center" wrapText="1"/>
    </xf>
    <xf numFmtId="0" fontId="29" fillId="0" borderId="12" xfId="0" applyNumberFormat="1" applyFont="1" applyBorder="1" applyAlignment="1">
      <alignment horizontal="center" wrapText="1"/>
    </xf>
    <xf numFmtId="0" fontId="29" fillId="0" borderId="11" xfId="0" quotePrefix="1" applyNumberFormat="1" applyFont="1" applyBorder="1"/>
    <xf numFmtId="0" fontId="29" fillId="5" borderId="11" xfId="0" quotePrefix="1" applyNumberFormat="1" applyFont="1" applyFill="1" applyBorder="1" applyAlignment="1">
      <alignment horizontal="left"/>
    </xf>
    <xf numFmtId="3" fontId="29" fillId="5" borderId="0" xfId="0" quotePrefix="1" applyNumberFormat="1" applyFont="1" applyFill="1" applyBorder="1"/>
    <xf numFmtId="3" fontId="29" fillId="5" borderId="0" xfId="0" applyNumberFormat="1" applyFont="1" applyFill="1" applyBorder="1"/>
    <xf numFmtId="3" fontId="29" fillId="5" borderId="12" xfId="0" applyNumberFormat="1" applyFont="1" applyFill="1" applyBorder="1"/>
    <xf numFmtId="0" fontId="29" fillId="0" borderId="11" xfId="0" quotePrefix="1" applyNumberFormat="1" applyFont="1" applyBorder="1" applyAlignment="1">
      <alignment horizontal="left"/>
    </xf>
    <xf numFmtId="3" fontId="29" fillId="0" borderId="0" xfId="0" quotePrefix="1" applyNumberFormat="1" applyFont="1" applyBorder="1"/>
    <xf numFmtId="3" fontId="29" fillId="4" borderId="0" xfId="0" applyNumberFormat="1" applyFont="1" applyFill="1" applyBorder="1"/>
    <xf numFmtId="3" fontId="29" fillId="10" borderId="12" xfId="0" applyNumberFormat="1" applyFont="1" applyFill="1" applyBorder="1"/>
    <xf numFmtId="0" fontId="30" fillId="10" borderId="0" xfId="0" applyFont="1" applyFill="1"/>
    <xf numFmtId="0" fontId="29" fillId="0" borderId="11" xfId="0" quotePrefix="1" applyNumberFormat="1" applyFont="1" applyFill="1" applyBorder="1" applyAlignment="1">
      <alignment horizontal="left"/>
    </xf>
    <xf numFmtId="3" fontId="29" fillId="0" borderId="0" xfId="0" applyNumberFormat="1" applyFont="1" applyFill="1" applyBorder="1"/>
    <xf numFmtId="0" fontId="29" fillId="5" borderId="11" xfId="0" applyNumberFormat="1" applyFont="1" applyFill="1" applyBorder="1" applyAlignment="1">
      <alignment horizontal="left"/>
    </xf>
    <xf numFmtId="3" fontId="30" fillId="0" borderId="0" xfId="0" applyNumberFormat="1" applyFont="1"/>
    <xf numFmtId="0" fontId="29" fillId="4" borderId="11" xfId="0" applyNumberFormat="1" applyFont="1" applyFill="1" applyBorder="1" applyAlignment="1">
      <alignment horizontal="left"/>
    </xf>
    <xf numFmtId="0" fontId="29" fillId="0" borderId="11" xfId="0" applyNumberFormat="1" applyFont="1" applyFill="1" applyBorder="1" applyAlignment="1">
      <alignment horizontal="left"/>
    </xf>
    <xf numFmtId="0" fontId="29" fillId="17" borderId="11" xfId="0" applyNumberFormat="1" applyFont="1" applyFill="1" applyBorder="1" applyAlignment="1">
      <alignment horizontal="left"/>
    </xf>
    <xf numFmtId="3" fontId="29" fillId="17" borderId="0" xfId="0" applyNumberFormat="1" applyFont="1" applyFill="1" applyBorder="1"/>
    <xf numFmtId="3" fontId="29" fillId="0" borderId="12" xfId="0" applyNumberFormat="1" applyFont="1" applyFill="1" applyBorder="1"/>
    <xf numFmtId="3" fontId="29" fillId="17" borderId="12" xfId="0" applyNumberFormat="1" applyFont="1" applyFill="1" applyBorder="1"/>
    <xf numFmtId="0" fontId="31" fillId="0" borderId="11" xfId="0" applyFont="1" applyBorder="1"/>
    <xf numFmtId="9" fontId="30" fillId="0" borderId="0" xfId="4" applyFont="1" applyBorder="1"/>
    <xf numFmtId="9" fontId="30" fillId="0" borderId="12" xfId="4" applyFont="1" applyBorder="1"/>
    <xf numFmtId="0" fontId="29" fillId="0" borderId="11" xfId="0" applyFont="1" applyBorder="1"/>
    <xf numFmtId="0" fontId="30" fillId="0" borderId="0" xfId="0" applyFont="1" applyBorder="1"/>
    <xf numFmtId="0" fontId="30" fillId="0" borderId="12" xfId="0" applyFont="1" applyBorder="1"/>
    <xf numFmtId="0" fontId="25" fillId="0" borderId="15" xfId="0" quotePrefix="1" applyNumberFormat="1" applyFont="1" applyFill="1" applyBorder="1" applyAlignment="1">
      <alignment horizontal="left"/>
    </xf>
    <xf numFmtId="3" fontId="25" fillId="0" borderId="16" xfId="0" quotePrefix="1" applyNumberFormat="1" applyFont="1" applyFill="1" applyBorder="1"/>
    <xf numFmtId="3" fontId="25" fillId="0" borderId="16" xfId="0" applyNumberFormat="1" applyFont="1" applyFill="1" applyBorder="1"/>
    <xf numFmtId="1" fontId="25" fillId="0" borderId="15" xfId="0" applyNumberFormat="1" applyFont="1" applyBorder="1" applyAlignment="1">
      <alignment horizontal="left"/>
    </xf>
    <xf numFmtId="3" fontId="25" fillId="0" borderId="16" xfId="0" applyNumberFormat="1" applyFont="1" applyFill="1" applyBorder="1" applyAlignment="1">
      <alignment vertical="center"/>
    </xf>
    <xf numFmtId="0" fontId="25" fillId="0" borderId="0" xfId="0" applyFont="1"/>
    <xf numFmtId="10" fontId="25" fillId="0" borderId="0" xfId="4" applyNumberFormat="1" applyFont="1"/>
    <xf numFmtId="10" fontId="25" fillId="0" borderId="0" xfId="4" applyNumberFormat="1" applyFont="1" applyBorder="1"/>
    <xf numFmtId="10" fontId="25" fillId="0" borderId="17" xfId="4" applyNumberFormat="1" applyFont="1" applyBorder="1"/>
    <xf numFmtId="10" fontId="25" fillId="0" borderId="16" xfId="4" applyNumberFormat="1" applyFont="1" applyBorder="1"/>
    <xf numFmtId="0" fontId="25" fillId="18" borderId="15" xfId="0" quotePrefix="1" applyNumberFormat="1" applyFont="1" applyFill="1" applyBorder="1" applyAlignment="1">
      <alignment horizontal="left"/>
    </xf>
    <xf numFmtId="3" fontId="25" fillId="18" borderId="16" xfId="0" quotePrefix="1" applyNumberFormat="1" applyFont="1" applyFill="1" applyBorder="1"/>
    <xf numFmtId="3" fontId="25" fillId="18" borderId="16" xfId="0" applyNumberFormat="1" applyFont="1" applyFill="1" applyBorder="1"/>
    <xf numFmtId="10" fontId="25" fillId="18" borderId="16" xfId="4" applyNumberFormat="1" applyFont="1" applyFill="1" applyBorder="1"/>
    <xf numFmtId="1" fontId="25" fillId="18" borderId="15" xfId="0" applyNumberFormat="1" applyFont="1" applyFill="1" applyBorder="1" applyAlignment="1">
      <alignment horizontal="left"/>
    </xf>
    <xf numFmtId="3" fontId="25" fillId="18" borderId="16" xfId="0" applyNumberFormat="1" applyFont="1" applyFill="1" applyBorder="1" applyAlignment="1">
      <alignment vertical="center"/>
    </xf>
    <xf numFmtId="0" fontId="25" fillId="0" borderId="21" xfId="0" applyNumberFormat="1" applyFont="1" applyBorder="1" applyAlignment="1">
      <alignment horizontal="center" wrapText="1"/>
    </xf>
    <xf numFmtId="0" fontId="25" fillId="0" borderId="21" xfId="0" applyNumberFormat="1" applyFont="1" applyFill="1" applyBorder="1" applyAlignment="1">
      <alignment horizontal="center" wrapText="1"/>
    </xf>
    <xf numFmtId="10" fontId="25" fillId="0" borderId="21" xfId="4" applyNumberFormat="1" applyFont="1" applyFill="1" applyBorder="1" applyAlignment="1">
      <alignment horizontal="center" wrapText="1"/>
    </xf>
    <xf numFmtId="0" fontId="33" fillId="0" borderId="11" xfId="0" applyFont="1" applyBorder="1" applyAlignment="1">
      <alignment horizontal="center" wrapText="1"/>
    </xf>
    <xf numFmtId="0" fontId="33" fillId="0" borderId="22" xfId="0" applyFont="1" applyBorder="1" applyAlignment="1">
      <alignment horizontal="center" wrapText="1"/>
    </xf>
    <xf numFmtId="0" fontId="33" fillId="0" borderId="0" xfId="0" applyFont="1" applyBorder="1" applyAlignment="1">
      <alignment horizontal="center" wrapText="1"/>
    </xf>
    <xf numFmtId="0" fontId="33" fillId="0" borderId="11" xfId="0" applyFont="1" applyBorder="1"/>
    <xf numFmtId="0" fontId="33" fillId="0" borderId="22" xfId="0" applyFont="1" applyBorder="1"/>
    <xf numFmtId="3" fontId="33" fillId="0" borderId="0" xfId="0" applyNumberFormat="1" applyFont="1" applyBorder="1"/>
    <xf numFmtId="0" fontId="33" fillId="0" borderId="0" xfId="0" applyFont="1" applyBorder="1"/>
    <xf numFmtId="3" fontId="33" fillId="0" borderId="22" xfId="0" applyNumberFormat="1" applyFont="1" applyBorder="1"/>
    <xf numFmtId="1" fontId="33" fillId="0" borderId="0" xfId="0" applyNumberFormat="1" applyFont="1" applyBorder="1"/>
    <xf numFmtId="0" fontId="34" fillId="0" borderId="0" xfId="0" applyFont="1"/>
    <xf numFmtId="0" fontId="33" fillId="0" borderId="24" xfId="0" applyFont="1" applyBorder="1" applyAlignment="1">
      <alignment horizontal="center" vertical="center" wrapText="1"/>
    </xf>
    <xf numFmtId="0" fontId="33" fillId="0" borderId="0" xfId="0" applyFont="1"/>
    <xf numFmtId="0" fontId="33" fillId="0" borderId="25" xfId="0" applyFont="1" applyBorder="1"/>
    <xf numFmtId="0" fontId="10" fillId="0" borderId="0" xfId="0" applyFont="1"/>
    <xf numFmtId="0" fontId="45" fillId="0" borderId="0" xfId="0" applyFont="1"/>
    <xf numFmtId="0" fontId="35" fillId="10" borderId="0" xfId="0" applyFont="1" applyFill="1" applyBorder="1" applyAlignment="1">
      <alignment horizontal="left"/>
    </xf>
    <xf numFmtId="0" fontId="23" fillId="0" borderId="28" xfId="0" applyFont="1" applyBorder="1"/>
    <xf numFmtId="0" fontId="23" fillId="0" borderId="28" xfId="0" applyFont="1" applyBorder="1" applyAlignment="1">
      <alignment horizontal="center" vertical="center"/>
    </xf>
    <xf numFmtId="0" fontId="33" fillId="0" borderId="30" xfId="0" applyFont="1" applyBorder="1" applyAlignment="1">
      <alignment horizontal="center" vertical="center" wrapText="1"/>
    </xf>
    <xf numFmtId="9" fontId="22" fillId="19" borderId="0" xfId="4" applyFont="1" applyFill="1" applyBorder="1"/>
    <xf numFmtId="164" fontId="11" fillId="0" borderId="1" xfId="1" applyNumberFormat="1" applyFont="1" applyBorder="1" applyAlignment="1">
      <alignment vertical="center"/>
    </xf>
    <xf numFmtId="164" fontId="11" fillId="0" borderId="38" xfId="1" applyNumberFormat="1" applyFont="1" applyFill="1" applyBorder="1" applyAlignment="1">
      <alignment vertical="center"/>
    </xf>
    <xf numFmtId="164" fontId="12" fillId="0" borderId="38" xfId="1" applyNumberFormat="1" applyFont="1" applyFill="1" applyBorder="1" applyAlignment="1">
      <alignment vertical="center"/>
    </xf>
    <xf numFmtId="3" fontId="12" fillId="0" borderId="38" xfId="0" applyNumberFormat="1" applyFont="1" applyFill="1" applyBorder="1" applyAlignment="1">
      <alignment vertical="center"/>
    </xf>
    <xf numFmtId="0" fontId="30" fillId="10" borderId="12" xfId="0" applyFont="1" applyFill="1" applyBorder="1"/>
    <xf numFmtId="0" fontId="26" fillId="10" borderId="0" xfId="0" applyFont="1" applyFill="1"/>
    <xf numFmtId="3" fontId="29" fillId="20" borderId="21" xfId="0" applyNumberFormat="1" applyFont="1" applyFill="1" applyBorder="1"/>
    <xf numFmtId="0" fontId="24" fillId="21" borderId="26" xfId="0" applyFont="1" applyFill="1" applyBorder="1" applyAlignment="1">
      <alignment horizontal="right"/>
    </xf>
    <xf numFmtId="0" fontId="24" fillId="21" borderId="16" xfId="0" applyFont="1" applyFill="1" applyBorder="1" applyAlignment="1">
      <alignment horizontal="right"/>
    </xf>
    <xf numFmtId="0" fontId="22" fillId="21" borderId="0" xfId="0" applyFont="1" applyFill="1" applyBorder="1" applyAlignment="1">
      <alignment horizontal="right"/>
    </xf>
    <xf numFmtId="9" fontId="6" fillId="16" borderId="0" xfId="4" applyFont="1" applyFill="1" applyAlignment="1">
      <alignment horizontal="center"/>
    </xf>
    <xf numFmtId="15" fontId="32" fillId="20" borderId="2" xfId="0" applyNumberFormat="1" applyFont="1" applyFill="1" applyBorder="1" applyAlignment="1">
      <alignment horizontal="center"/>
    </xf>
    <xf numFmtId="0" fontId="30" fillId="20" borderId="2" xfId="0" applyFont="1" applyFill="1" applyBorder="1"/>
    <xf numFmtId="0" fontId="29" fillId="20" borderId="2" xfId="0" applyFont="1" applyFill="1" applyBorder="1"/>
    <xf numFmtId="0" fontId="24" fillId="0" borderId="0" xfId="0" applyFont="1"/>
    <xf numFmtId="0" fontId="22" fillId="0" borderId="0" xfId="0" applyFont="1" applyFill="1" applyBorder="1" applyAlignment="1">
      <alignment horizontal="center"/>
    </xf>
    <xf numFmtId="1" fontId="25" fillId="10" borderId="11" xfId="0" applyNumberFormat="1" applyFont="1" applyFill="1" applyBorder="1" applyAlignment="1">
      <alignment horizontal="left"/>
    </xf>
    <xf numFmtId="3" fontId="25" fillId="0" borderId="0" xfId="0" applyNumberFormat="1" applyFont="1" applyFill="1" applyBorder="1" applyAlignment="1">
      <alignment vertical="center"/>
    </xf>
    <xf numFmtId="10" fontId="25" fillId="0" borderId="7" xfId="4" applyNumberFormat="1" applyFont="1" applyBorder="1"/>
    <xf numFmtId="3" fontId="11" fillId="9" borderId="1" xfId="0" applyNumberFormat="1" applyFont="1" applyFill="1" applyBorder="1" applyAlignment="1">
      <alignment horizontal="center" vertical="center"/>
    </xf>
    <xf numFmtId="3" fontId="12" fillId="9" borderId="1" xfId="0" applyNumberFormat="1" applyFont="1" applyFill="1" applyBorder="1" applyAlignment="1">
      <alignment horizontal="center"/>
    </xf>
    <xf numFmtId="3" fontId="47" fillId="9" borderId="1" xfId="4" applyNumberFormat="1" applyFont="1" applyFill="1" applyBorder="1" applyAlignment="1">
      <alignment horizontal="right"/>
    </xf>
    <xf numFmtId="9" fontId="6" fillId="9" borderId="1" xfId="4" applyFont="1" applyFill="1" applyBorder="1" applyAlignment="1">
      <alignment horizontal="center"/>
    </xf>
    <xf numFmtId="0" fontId="47" fillId="9" borderId="1" xfId="4" applyNumberFormat="1" applyFont="1" applyFill="1" applyBorder="1" applyAlignment="1">
      <alignment horizontal="right"/>
    </xf>
    <xf numFmtId="164" fontId="48" fillId="9" borderId="1" xfId="1" applyNumberFormat="1" applyFont="1" applyFill="1" applyBorder="1" applyAlignment="1">
      <alignment horizontal="right"/>
    </xf>
    <xf numFmtId="9" fontId="13" fillId="9" borderId="1" xfId="4" applyFont="1" applyFill="1" applyBorder="1" applyAlignment="1">
      <alignment horizontal="center" vertical="center"/>
    </xf>
    <xf numFmtId="3" fontId="47" fillId="9" borderId="1" xfId="4" applyNumberFormat="1" applyFont="1" applyFill="1" applyBorder="1" applyAlignment="1">
      <alignment horizontal="right" vertical="center"/>
    </xf>
    <xf numFmtId="164" fontId="47" fillId="9" borderId="1" xfId="1" applyNumberFormat="1" applyFont="1" applyFill="1" applyBorder="1" applyAlignment="1">
      <alignment horizontal="right" vertical="center"/>
    </xf>
    <xf numFmtId="3" fontId="11" fillId="9" borderId="1" xfId="4" applyNumberFormat="1" applyFont="1" applyFill="1" applyBorder="1" applyAlignment="1">
      <alignment horizontal="right" vertical="center"/>
    </xf>
    <xf numFmtId="164" fontId="11" fillId="9" borderId="1" xfId="1" applyNumberFormat="1" applyFont="1" applyFill="1" applyBorder="1" applyAlignment="1">
      <alignment horizontal="right"/>
    </xf>
    <xf numFmtId="0" fontId="11" fillId="9" borderId="1" xfId="4" applyNumberFormat="1" applyFont="1" applyFill="1" applyBorder="1" applyAlignment="1">
      <alignment horizontal="right"/>
    </xf>
    <xf numFmtId="1" fontId="25" fillId="18" borderId="16" xfId="0" applyNumberFormat="1" applyFont="1" applyFill="1" applyBorder="1" applyAlignment="1">
      <alignment horizontal="left"/>
    </xf>
    <xf numFmtId="0" fontId="33" fillId="0" borderId="0" xfId="0" applyFont="1" applyFill="1"/>
    <xf numFmtId="0" fontId="34" fillId="0" borderId="0" xfId="0" applyFont="1" applyFill="1"/>
    <xf numFmtId="3" fontId="6" fillId="0" borderId="0" xfId="0" applyNumberFormat="1" applyFont="1"/>
    <xf numFmtId="9" fontId="8" fillId="0" borderId="1" xfId="4" applyFont="1" applyFill="1" applyBorder="1" applyAlignment="1">
      <alignment vertical="center"/>
    </xf>
    <xf numFmtId="9" fontId="6" fillId="16" borderId="0" xfId="4" applyFont="1" applyFill="1"/>
    <xf numFmtId="0" fontId="50" fillId="12" borderId="1" xfId="0" applyFont="1" applyFill="1" applyBorder="1" applyAlignment="1">
      <alignment horizontal="center"/>
    </xf>
    <xf numFmtId="3" fontId="47" fillId="12" borderId="1" xfId="0" applyNumberFormat="1" applyFont="1" applyFill="1" applyBorder="1" applyAlignment="1">
      <alignment horizontal="center" vertical="center"/>
    </xf>
    <xf numFmtId="0" fontId="51" fillId="12" borderId="1" xfId="0" applyFont="1" applyFill="1" applyBorder="1" applyAlignment="1">
      <alignment vertical="center"/>
    </xf>
    <xf numFmtId="164" fontId="47" fillId="12" borderId="1" xfId="1" applyNumberFormat="1" applyFont="1" applyFill="1" applyBorder="1"/>
    <xf numFmtId="3" fontId="47" fillId="12" borderId="1" xfId="0" applyNumberFormat="1" applyFont="1" applyFill="1" applyBorder="1" applyAlignment="1">
      <alignment vertical="center"/>
    </xf>
    <xf numFmtId="164" fontId="50" fillId="12" borderId="1" xfId="1" applyNumberFormat="1" applyFont="1" applyFill="1" applyBorder="1"/>
    <xf numFmtId="9" fontId="52" fillId="11" borderId="1" xfId="4" applyFont="1" applyFill="1" applyBorder="1" applyAlignment="1">
      <alignment vertical="center"/>
    </xf>
    <xf numFmtId="3" fontId="51" fillId="12" borderId="1" xfId="0" applyNumberFormat="1" applyFont="1" applyFill="1" applyBorder="1" applyAlignment="1">
      <alignment vertical="center"/>
    </xf>
    <xf numFmtId="3" fontId="47" fillId="12" borderId="1" xfId="0" applyNumberFormat="1" applyFont="1" applyFill="1" applyBorder="1"/>
    <xf numFmtId="0" fontId="47" fillId="12" borderId="1" xfId="0" applyFont="1" applyFill="1" applyBorder="1"/>
    <xf numFmtId="9" fontId="47" fillId="12" borderId="1" xfId="4" applyFont="1" applyFill="1" applyBorder="1" applyAlignment="1">
      <alignment horizontal="center"/>
    </xf>
    <xf numFmtId="3" fontId="50" fillId="12" borderId="1" xfId="0" applyNumberFormat="1" applyFont="1" applyFill="1" applyBorder="1" applyAlignment="1">
      <alignment vertical="center"/>
    </xf>
    <xf numFmtId="3" fontId="53" fillId="0" borderId="5" xfId="0" applyNumberFormat="1" applyFont="1" applyFill="1" applyBorder="1" applyAlignment="1">
      <alignment horizontal="right" vertical="center"/>
    </xf>
    <xf numFmtId="9" fontId="6" fillId="0" borderId="1" xfId="4" applyFont="1" applyBorder="1" applyAlignment="1">
      <alignment horizontal="center"/>
    </xf>
    <xf numFmtId="164" fontId="47" fillId="0" borderId="1" xfId="1" applyNumberFormat="1" applyFont="1" applyFill="1" applyBorder="1" applyAlignment="1">
      <alignment horizontal="center"/>
    </xf>
    <xf numFmtId="164" fontId="47" fillId="0" borderId="1" xfId="1" applyNumberFormat="1" applyFont="1" applyFill="1" applyBorder="1" applyAlignment="1">
      <alignment vertical="center"/>
    </xf>
    <xf numFmtId="164" fontId="47" fillId="0" borderId="1" xfId="1" applyNumberFormat="1" applyFont="1" applyBorder="1" applyAlignment="1">
      <alignment horizontal="center"/>
    </xf>
    <xf numFmtId="164" fontId="50" fillId="0" borderId="1" xfId="1" applyNumberFormat="1" applyFont="1" applyFill="1" applyBorder="1" applyAlignment="1">
      <alignment vertical="center"/>
    </xf>
    <xf numFmtId="9" fontId="6" fillId="0" borderId="1" xfId="4" applyFont="1" applyFill="1" applyBorder="1" applyAlignment="1">
      <alignment horizontal="center"/>
    </xf>
    <xf numFmtId="0" fontId="50" fillId="13" borderId="1" xfId="0" applyFont="1" applyFill="1" applyBorder="1" applyAlignment="1">
      <alignment horizontal="center" vertical="center"/>
    </xf>
    <xf numFmtId="0" fontId="47" fillId="13" borderId="1" xfId="0" applyFont="1" applyFill="1" applyBorder="1" applyAlignment="1">
      <alignment horizontal="center" vertical="center"/>
    </xf>
    <xf numFmtId="0" fontId="50" fillId="13" borderId="1" xfId="0" applyFont="1" applyFill="1" applyBorder="1" applyAlignment="1">
      <alignment vertical="center"/>
    </xf>
    <xf numFmtId="164" fontId="47" fillId="13" borderId="1" xfId="1" applyNumberFormat="1" applyFont="1" applyFill="1" applyBorder="1" applyAlignment="1">
      <alignment vertical="center"/>
    </xf>
    <xf numFmtId="164" fontId="50" fillId="13" borderId="1" xfId="1" applyNumberFormat="1" applyFont="1" applyFill="1" applyBorder="1" applyAlignment="1">
      <alignment vertical="center"/>
    </xf>
    <xf numFmtId="0" fontId="47" fillId="13" borderId="1" xfId="0" applyFont="1" applyFill="1" applyBorder="1" applyAlignment="1">
      <alignment vertical="center"/>
    </xf>
    <xf numFmtId="41" fontId="47" fillId="13" borderId="1" xfId="5" applyNumberFormat="1" applyFont="1" applyFill="1" applyBorder="1" applyAlignment="1">
      <alignment vertical="center"/>
    </xf>
    <xf numFmtId="0" fontId="51" fillId="13" borderId="1" xfId="0" applyFont="1" applyFill="1" applyBorder="1" applyAlignment="1">
      <alignment vertical="center"/>
    </xf>
    <xf numFmtId="3" fontId="53" fillId="0" borderId="40" xfId="0" applyNumberFormat="1" applyFont="1" applyFill="1" applyBorder="1" applyAlignment="1">
      <alignment horizontal="right" vertical="center"/>
    </xf>
    <xf numFmtId="9" fontId="47" fillId="16" borderId="1" xfId="4" applyFont="1" applyFill="1" applyBorder="1" applyAlignment="1">
      <alignment horizontal="center"/>
    </xf>
    <xf numFmtId="0" fontId="50" fillId="2" borderId="1" xfId="0" applyFont="1" applyFill="1" applyBorder="1" applyAlignment="1">
      <alignment horizontal="center"/>
    </xf>
    <xf numFmtId="3" fontId="47" fillId="0" borderId="1" xfId="0" applyNumberFormat="1" applyFont="1" applyFill="1" applyBorder="1" applyAlignment="1">
      <alignment horizontal="center" vertical="center"/>
    </xf>
    <xf numFmtId="9" fontId="47" fillId="0" borderId="1" xfId="4" applyFont="1" applyBorder="1" applyAlignment="1">
      <alignment horizontal="center"/>
    </xf>
    <xf numFmtId="3" fontId="50" fillId="0" borderId="1" xfId="0" applyNumberFormat="1" applyFont="1" applyFill="1" applyBorder="1" applyAlignment="1">
      <alignment vertical="center"/>
    </xf>
    <xf numFmtId="164" fontId="50" fillId="0" borderId="1" xfId="1" applyNumberFormat="1" applyFont="1" applyBorder="1" applyAlignment="1">
      <alignment vertical="center"/>
    </xf>
    <xf numFmtId="3" fontId="53" fillId="0" borderId="1" xfId="0" applyNumberFormat="1" applyFont="1" applyFill="1" applyBorder="1" applyAlignment="1">
      <alignment horizontal="right" vertical="center"/>
    </xf>
    <xf numFmtId="10" fontId="47" fillId="15" borderId="5" xfId="0" applyNumberFormat="1" applyFont="1" applyFill="1" applyBorder="1"/>
    <xf numFmtId="0" fontId="47" fillId="14" borderId="1" xfId="0" applyFont="1" applyFill="1" applyBorder="1" applyAlignment="1">
      <alignment vertical="center"/>
    </xf>
    <xf numFmtId="0" fontId="47" fillId="14" borderId="1" xfId="0" applyFont="1" applyFill="1" applyBorder="1" applyAlignment="1">
      <alignment horizontal="center" vertical="center"/>
    </xf>
    <xf numFmtId="164" fontId="47" fillId="14" borderId="1" xfId="1" applyNumberFormat="1" applyFont="1" applyFill="1" applyBorder="1"/>
    <xf numFmtId="3" fontId="47" fillId="14" borderId="1" xfId="0" applyNumberFormat="1" applyFont="1" applyFill="1" applyBorder="1" applyAlignment="1">
      <alignment vertical="center"/>
    </xf>
    <xf numFmtId="164" fontId="50" fillId="14" borderId="1" xfId="0" applyNumberFormat="1" applyFont="1" applyFill="1" applyBorder="1" applyAlignment="1">
      <alignment vertical="center"/>
    </xf>
    <xf numFmtId="0" fontId="50" fillId="14" borderId="1" xfId="0" applyFont="1" applyFill="1" applyBorder="1" applyAlignment="1">
      <alignment vertical="center"/>
    </xf>
    <xf numFmtId="164" fontId="52" fillId="14" borderId="1" xfId="1" applyNumberFormat="1" applyFont="1" applyFill="1" applyBorder="1" applyAlignment="1">
      <alignment vertical="center"/>
    </xf>
    <xf numFmtId="3" fontId="50" fillId="14" borderId="1" xfId="0" applyNumberFormat="1" applyFont="1" applyFill="1" applyBorder="1" applyAlignment="1">
      <alignment vertical="center"/>
    </xf>
    <xf numFmtId="3" fontId="47" fillId="14" borderId="1" xfId="0" applyNumberFormat="1" applyFont="1" applyFill="1" applyBorder="1" applyAlignment="1">
      <alignment horizontal="center" vertical="center"/>
    </xf>
    <xf numFmtId="9" fontId="47" fillId="14" borderId="1" xfId="4" applyFont="1" applyFill="1" applyBorder="1" applyAlignment="1">
      <alignment horizontal="center"/>
    </xf>
    <xf numFmtId="164" fontId="47" fillId="14" borderId="1" xfId="1" applyNumberFormat="1" applyFont="1" applyFill="1" applyBorder="1" applyAlignment="1">
      <alignment horizontal="center"/>
    </xf>
    <xf numFmtId="164" fontId="47" fillId="14" borderId="1" xfId="1" applyNumberFormat="1" applyFont="1" applyFill="1" applyBorder="1" applyAlignment="1">
      <alignment vertical="center"/>
    </xf>
    <xf numFmtId="164" fontId="47" fillId="14" borderId="1" xfId="1" applyNumberFormat="1" applyFont="1" applyFill="1" applyBorder="1" applyAlignment="1">
      <alignment horizontal="right"/>
    </xf>
    <xf numFmtId="164" fontId="50" fillId="14" borderId="1" xfId="1" applyNumberFormat="1" applyFont="1" applyFill="1" applyBorder="1" applyAlignment="1">
      <alignment horizontal="right" vertical="center"/>
    </xf>
    <xf numFmtId="164" fontId="50" fillId="14" borderId="1" xfId="1" applyNumberFormat="1" applyFont="1" applyFill="1" applyBorder="1" applyAlignment="1">
      <alignment vertical="center"/>
    </xf>
    <xf numFmtId="3" fontId="53" fillId="10" borderId="1" xfId="0" applyNumberFormat="1" applyFont="1" applyFill="1" applyBorder="1" applyAlignment="1">
      <alignment horizontal="right"/>
    </xf>
    <xf numFmtId="10" fontId="47" fillId="15" borderId="5" xfId="0" applyNumberFormat="1" applyFont="1" applyFill="1" applyBorder="1" applyAlignment="1">
      <alignment vertical="center"/>
    </xf>
    <xf numFmtId="9" fontId="6" fillId="16" borderId="7" xfId="4" applyFont="1" applyFill="1" applyBorder="1" applyAlignment="1">
      <alignment horizontal="center"/>
    </xf>
    <xf numFmtId="164" fontId="47" fillId="0" borderId="1" xfId="4" applyNumberFormat="1" applyFont="1" applyBorder="1" applyAlignment="1">
      <alignment horizontal="center"/>
    </xf>
    <xf numFmtId="10" fontId="47" fillId="15" borderId="1" xfId="4" applyNumberFormat="1" applyFont="1" applyFill="1" applyBorder="1"/>
    <xf numFmtId="3" fontId="47" fillId="0" borderId="1" xfId="0" applyNumberFormat="1" applyFont="1" applyBorder="1"/>
    <xf numFmtId="10" fontId="47" fillId="0" borderId="1" xfId="0" applyNumberFormat="1" applyFont="1" applyBorder="1"/>
    <xf numFmtId="10" fontId="47" fillId="0" borderId="1" xfId="4" applyNumberFormat="1" applyFont="1" applyBorder="1"/>
    <xf numFmtId="3" fontId="47" fillId="0" borderId="5" xfId="0" applyNumberFormat="1" applyFont="1" applyBorder="1"/>
    <xf numFmtId="3" fontId="11" fillId="0" borderId="3" xfId="0" applyNumberFormat="1" applyFont="1" applyFill="1" applyBorder="1" applyAlignment="1">
      <alignment vertical="center"/>
    </xf>
    <xf numFmtId="3" fontId="14" fillId="0" borderId="1" xfId="0" applyNumberFormat="1" applyFont="1" applyFill="1" applyBorder="1" applyAlignment="1">
      <alignment vertical="center"/>
    </xf>
    <xf numFmtId="164" fontId="11" fillId="0" borderId="1" xfId="1" applyNumberFormat="1" applyFont="1" applyFill="1" applyBorder="1" applyAlignment="1">
      <alignment vertical="center"/>
    </xf>
    <xf numFmtId="164" fontId="12" fillId="0" borderId="1" xfId="1" applyNumberFormat="1" applyFont="1" applyBorder="1" applyAlignment="1">
      <alignment vertical="center"/>
    </xf>
    <xf numFmtId="164" fontId="47" fillId="0" borderId="0" xfId="1" applyNumberFormat="1" applyFont="1"/>
    <xf numFmtId="0" fontId="13" fillId="14" borderId="1" xfId="0" applyFont="1" applyFill="1" applyBorder="1" applyAlignment="1">
      <alignment vertical="center"/>
    </xf>
    <xf numFmtId="9" fontId="8" fillId="14" borderId="1" xfId="4" applyFont="1" applyFill="1" applyBorder="1" applyAlignment="1">
      <alignment vertical="center"/>
    </xf>
    <xf numFmtId="37" fontId="11" fillId="0" borderId="1" xfId="1" applyNumberFormat="1" applyFont="1" applyBorder="1" applyAlignment="1">
      <alignment vertical="center"/>
    </xf>
    <xf numFmtId="37" fontId="11" fillId="0" borderId="1" xfId="1" applyNumberFormat="1" applyFont="1" applyFill="1" applyBorder="1" applyAlignment="1">
      <alignment vertical="center"/>
    </xf>
    <xf numFmtId="0" fontId="11" fillId="0" borderId="0" xfId="0" applyFont="1" applyBorder="1" applyAlignment="1">
      <alignment vertical="center"/>
    </xf>
    <xf numFmtId="3" fontId="11" fillId="0" borderId="1" xfId="1" applyNumberFormat="1" applyFont="1" applyBorder="1" applyAlignment="1">
      <alignment vertical="center"/>
    </xf>
    <xf numFmtId="164" fontId="11" fillId="0" borderId="1" xfId="1" applyNumberFormat="1" applyFont="1" applyBorder="1" applyAlignment="1">
      <alignment horizontal="right" vertical="center"/>
    </xf>
    <xf numFmtId="3" fontId="13" fillId="14" borderId="2" xfId="0" applyNumberFormat="1" applyFont="1" applyFill="1" applyBorder="1" applyAlignment="1">
      <alignment vertical="center"/>
    </xf>
    <xf numFmtId="0" fontId="50" fillId="14" borderId="1" xfId="0" applyFont="1" applyFill="1" applyBorder="1" applyAlignment="1">
      <alignment horizontal="center" vertical="center"/>
    </xf>
    <xf numFmtId="164" fontId="11" fillId="3" borderId="1" xfId="1" applyNumberFormat="1" applyFont="1" applyFill="1" applyBorder="1" applyAlignment="1">
      <alignment vertical="center"/>
    </xf>
    <xf numFmtId="164" fontId="47" fillId="12" borderId="1" xfId="1" applyNumberFormat="1" applyFont="1" applyFill="1" applyBorder="1" applyAlignment="1">
      <alignment vertical="center"/>
    </xf>
    <xf numFmtId="164" fontId="11" fillId="10" borderId="37" xfId="1" applyNumberFormat="1" applyFont="1" applyFill="1" applyBorder="1" applyAlignment="1">
      <alignment vertical="center"/>
    </xf>
    <xf numFmtId="164" fontId="11" fillId="13" borderId="1" xfId="1" applyNumberFormat="1" applyFont="1" applyFill="1" applyBorder="1" applyAlignment="1">
      <alignment vertical="center"/>
    </xf>
    <xf numFmtId="164" fontId="11" fillId="10" borderId="1" xfId="1" applyNumberFormat="1" applyFont="1" applyFill="1" applyBorder="1" applyAlignment="1">
      <alignment vertical="center"/>
    </xf>
    <xf numFmtId="164" fontId="11" fillId="0" borderId="3" xfId="1" applyNumberFormat="1" applyFont="1" applyBorder="1" applyAlignment="1">
      <alignment vertical="center"/>
    </xf>
    <xf numFmtId="164" fontId="0" fillId="0" borderId="0" xfId="1" applyNumberFormat="1" applyFont="1"/>
    <xf numFmtId="0" fontId="29" fillId="23" borderId="11" xfId="0" applyNumberFormat="1" applyFont="1" applyFill="1" applyBorder="1" applyAlignment="1">
      <alignment horizontal="left"/>
    </xf>
    <xf numFmtId="3" fontId="29" fillId="23" borderId="0" xfId="0" applyNumberFormat="1" applyFont="1" applyFill="1" applyBorder="1"/>
    <xf numFmtId="3" fontId="29" fillId="23" borderId="12" xfId="0" applyNumberFormat="1" applyFont="1" applyFill="1" applyBorder="1"/>
    <xf numFmtId="164" fontId="25" fillId="0" borderId="16" xfId="1" applyNumberFormat="1" applyFont="1" applyFill="1" applyBorder="1" applyAlignment="1"/>
    <xf numFmtId="164" fontId="25" fillId="0" borderId="16" xfId="1" applyNumberFormat="1" applyFont="1" applyFill="1" applyBorder="1" applyAlignment="1">
      <alignment horizontal="right"/>
    </xf>
    <xf numFmtId="10" fontId="25" fillId="0" borderId="16" xfId="4" applyNumberFormat="1" applyFont="1" applyFill="1" applyBorder="1" applyAlignment="1">
      <alignment horizontal="right"/>
    </xf>
    <xf numFmtId="3" fontId="25" fillId="18" borderId="7" xfId="0" applyNumberFormat="1" applyFont="1" applyFill="1" applyBorder="1" applyAlignment="1">
      <alignment vertical="center"/>
    </xf>
    <xf numFmtId="10" fontId="25" fillId="18" borderId="7" xfId="4" applyNumberFormat="1" applyFont="1" applyFill="1" applyBorder="1"/>
    <xf numFmtId="1" fontId="25" fillId="0" borderId="26" xfId="0" applyNumberFormat="1" applyFont="1" applyFill="1" applyBorder="1" applyAlignment="1">
      <alignment horizontal="left"/>
    </xf>
    <xf numFmtId="10" fontId="25" fillId="0" borderId="27" xfId="4" applyNumberFormat="1" applyFont="1" applyFill="1" applyBorder="1" applyAlignment="1">
      <alignment horizontal="right"/>
    </xf>
    <xf numFmtId="164" fontId="25" fillId="18" borderId="7" xfId="1" applyNumberFormat="1" applyFont="1" applyFill="1" applyBorder="1"/>
    <xf numFmtId="164" fontId="25" fillId="0" borderId="16" xfId="1" applyNumberFormat="1" applyFont="1" applyBorder="1"/>
    <xf numFmtId="164" fontId="25" fillId="18" borderId="16" xfId="1" applyNumberFormat="1" applyFont="1" applyFill="1" applyBorder="1"/>
    <xf numFmtId="164" fontId="25" fillId="0" borderId="16" xfId="1" quotePrefix="1" applyNumberFormat="1" applyFont="1" applyFill="1" applyBorder="1"/>
    <xf numFmtId="164" fontId="25" fillId="18" borderId="16" xfId="1" quotePrefix="1" applyNumberFormat="1" applyFont="1" applyFill="1" applyBorder="1"/>
    <xf numFmtId="164" fontId="25" fillId="0" borderId="16" xfId="1" applyNumberFormat="1" applyFont="1" applyFill="1" applyBorder="1"/>
    <xf numFmtId="164" fontId="25" fillId="0" borderId="0" xfId="1" applyNumberFormat="1" applyFont="1" applyBorder="1"/>
    <xf numFmtId="164" fontId="25" fillId="0" borderId="17" xfId="1" applyNumberFormat="1" applyFont="1" applyBorder="1"/>
    <xf numFmtId="164" fontId="25" fillId="0" borderId="0" xfId="1" applyNumberFormat="1" applyFont="1" applyFill="1" applyBorder="1"/>
    <xf numFmtId="164" fontId="25" fillId="0" borderId="7" xfId="1" applyNumberFormat="1" applyFont="1" applyBorder="1"/>
    <xf numFmtId="0" fontId="33" fillId="0" borderId="44" xfId="0" applyFont="1" applyBorder="1"/>
    <xf numFmtId="3" fontId="33" fillId="0" borderId="29" xfId="0" applyNumberFormat="1" applyFont="1" applyBorder="1"/>
    <xf numFmtId="0" fontId="34" fillId="0" borderId="43" xfId="0" applyFont="1" applyBorder="1"/>
    <xf numFmtId="0" fontId="34" fillId="24" borderId="22" xfId="0" applyFont="1" applyFill="1" applyBorder="1"/>
    <xf numFmtId="0" fontId="34" fillId="24" borderId="0" xfId="0" applyFont="1" applyFill="1" applyBorder="1"/>
    <xf numFmtId="3" fontId="34" fillId="24" borderId="22" xfId="0" applyNumberFormat="1" applyFont="1" applyFill="1" applyBorder="1"/>
    <xf numFmtId="3" fontId="34" fillId="24" borderId="0" xfId="0" applyNumberFormat="1" applyFont="1" applyFill="1" applyBorder="1"/>
    <xf numFmtId="3" fontId="33" fillId="24" borderId="22" xfId="0" applyNumberFormat="1" applyFont="1" applyFill="1" applyBorder="1"/>
    <xf numFmtId="3" fontId="33" fillId="24" borderId="0" xfId="0" applyNumberFormat="1" applyFont="1" applyFill="1" applyBorder="1"/>
    <xf numFmtId="0" fontId="33" fillId="25" borderId="24" xfId="0" applyFont="1" applyFill="1" applyBorder="1" applyAlignment="1">
      <alignment horizontal="center" vertical="center" wrapText="1"/>
    </xf>
    <xf numFmtId="0" fontId="33" fillId="25" borderId="22" xfId="0" applyFont="1" applyFill="1" applyBorder="1" applyAlignment="1">
      <alignment horizontal="center" wrapText="1"/>
    </xf>
    <xf numFmtId="0" fontId="33" fillId="25" borderId="22" xfId="0" applyFont="1" applyFill="1" applyBorder="1"/>
    <xf numFmtId="3" fontId="33" fillId="25" borderId="22" xfId="0" applyNumberFormat="1" applyFont="1" applyFill="1" applyBorder="1"/>
    <xf numFmtId="0" fontId="33" fillId="25" borderId="0" xfId="0" applyFont="1" applyFill="1" applyBorder="1" applyAlignment="1">
      <alignment horizontal="center" wrapText="1"/>
    </xf>
    <xf numFmtId="0" fontId="33" fillId="25" borderId="23" xfId="0" applyFont="1" applyFill="1" applyBorder="1" applyAlignment="1">
      <alignment horizontal="center" wrapText="1"/>
    </xf>
    <xf numFmtId="0" fontId="33" fillId="25" borderId="22" xfId="0" applyFont="1" applyFill="1" applyBorder="1" applyAlignment="1">
      <alignment horizontal="center"/>
    </xf>
    <xf numFmtId="3" fontId="33" fillId="25" borderId="0" xfId="0" applyNumberFormat="1" applyFont="1" applyFill="1" applyBorder="1"/>
    <xf numFmtId="0" fontId="33" fillId="25" borderId="0" xfId="0" applyFont="1" applyFill="1" applyBorder="1"/>
    <xf numFmtId="0" fontId="33" fillId="25" borderId="23" xfId="0" applyFont="1" applyFill="1" applyBorder="1"/>
    <xf numFmtId="1" fontId="33" fillId="25" borderId="23" xfId="0" applyNumberFormat="1" applyFont="1" applyFill="1" applyBorder="1"/>
    <xf numFmtId="0" fontId="34" fillId="25" borderId="46" xfId="0" applyFont="1" applyFill="1" applyBorder="1"/>
    <xf numFmtId="1" fontId="33" fillId="25" borderId="45" xfId="0" applyNumberFormat="1" applyFont="1" applyFill="1" applyBorder="1"/>
    <xf numFmtId="3" fontId="33" fillId="0" borderId="43" xfId="0" applyNumberFormat="1" applyFont="1" applyBorder="1"/>
    <xf numFmtId="165" fontId="0" fillId="0" borderId="0" xfId="0" applyNumberFormat="1" applyAlignment="1"/>
    <xf numFmtId="164" fontId="33" fillId="0" borderId="43" xfId="1" applyNumberFormat="1" applyFont="1" applyBorder="1"/>
    <xf numFmtId="164" fontId="33" fillId="0" borderId="22" xfId="1" applyNumberFormat="1" applyFont="1" applyBorder="1"/>
    <xf numFmtId="164" fontId="33" fillId="0" borderId="0" xfId="1" applyNumberFormat="1" applyFont="1" applyBorder="1"/>
    <xf numFmtId="164" fontId="33" fillId="25" borderId="43" xfId="1" applyNumberFormat="1" applyFont="1" applyFill="1" applyBorder="1" applyAlignment="1">
      <alignment horizontal="right"/>
    </xf>
    <xf numFmtId="164" fontId="33" fillId="25" borderId="43" xfId="1" applyNumberFormat="1" applyFont="1" applyFill="1" applyBorder="1" applyAlignment="1"/>
    <xf numFmtId="164" fontId="33" fillId="25" borderId="0" xfId="1" applyNumberFormat="1" applyFont="1" applyFill="1" applyBorder="1"/>
    <xf numFmtId="3" fontId="33" fillId="25" borderId="41" xfId="0" applyNumberFormat="1" applyFont="1" applyFill="1" applyBorder="1"/>
    <xf numFmtId="164" fontId="33" fillId="24" borderId="43" xfId="1" applyNumberFormat="1" applyFont="1" applyFill="1" applyBorder="1"/>
    <xf numFmtId="164" fontId="33" fillId="24" borderId="0" xfId="1" applyNumberFormat="1" applyFont="1" applyFill="1" applyBorder="1"/>
    <xf numFmtId="164" fontId="33" fillId="24" borderId="0" xfId="1" applyNumberFormat="1" applyFont="1" applyFill="1" applyBorder="1" applyAlignment="1">
      <alignment horizontal="right"/>
    </xf>
    <xf numFmtId="3" fontId="22" fillId="26" borderId="31" xfId="0" applyNumberFormat="1" applyFont="1" applyFill="1" applyBorder="1"/>
    <xf numFmtId="3" fontId="22" fillId="26" borderId="47" xfId="0" applyNumberFormat="1" applyFont="1" applyFill="1" applyBorder="1"/>
    <xf numFmtId="0" fontId="38" fillId="9" borderId="49" xfId="0" applyFont="1" applyFill="1" applyBorder="1" applyAlignment="1">
      <alignment horizontal="center" wrapText="1"/>
    </xf>
    <xf numFmtId="3" fontId="38" fillId="9" borderId="50" xfId="0" applyNumberFormat="1" applyFont="1" applyFill="1" applyBorder="1"/>
    <xf numFmtId="3" fontId="38" fillId="9" borderId="20" xfId="0" applyNumberFormat="1" applyFont="1" applyFill="1" applyBorder="1"/>
    <xf numFmtId="0" fontId="22" fillId="21" borderId="17" xfId="0" applyFont="1" applyFill="1" applyBorder="1" applyAlignment="1">
      <alignment horizontal="right"/>
    </xf>
    <xf numFmtId="3" fontId="22" fillId="0" borderId="0" xfId="0" applyNumberFormat="1" applyFont="1" applyFill="1" applyBorder="1"/>
    <xf numFmtId="3" fontId="22" fillId="0" borderId="2" xfId="0" applyNumberFormat="1" applyFont="1" applyFill="1" applyBorder="1"/>
    <xf numFmtId="9" fontId="22" fillId="0" borderId="0" xfId="4" applyFont="1" applyFill="1" applyBorder="1"/>
    <xf numFmtId="0" fontId="22" fillId="19" borderId="0" xfId="0" applyFont="1" applyFill="1" applyBorder="1" applyAlignment="1">
      <alignment horizontal="center" wrapText="1"/>
    </xf>
    <xf numFmtId="0" fontId="36" fillId="21" borderId="19" xfId="0" applyFont="1" applyFill="1" applyBorder="1"/>
    <xf numFmtId="0" fontId="22" fillId="21" borderId="2" xfId="0" applyFont="1" applyFill="1" applyBorder="1" applyAlignment="1">
      <alignment horizontal="right"/>
    </xf>
    <xf numFmtId="0" fontId="22" fillId="21" borderId="12" xfId="0" applyFont="1" applyFill="1" applyBorder="1"/>
    <xf numFmtId="0" fontId="22" fillId="21" borderId="4" xfId="0" applyFont="1" applyFill="1" applyBorder="1" applyAlignment="1">
      <alignment horizontal="right"/>
    </xf>
    <xf numFmtId="0" fontId="22" fillId="21" borderId="18" xfId="0" applyFont="1" applyFill="1" applyBorder="1"/>
    <xf numFmtId="0" fontId="22" fillId="26" borderId="34" xfId="0" applyFont="1" applyFill="1" applyBorder="1" applyAlignment="1">
      <alignment horizontal="center" wrapText="1"/>
    </xf>
    <xf numFmtId="0" fontId="23" fillId="0" borderId="28" xfId="0" applyFont="1" applyBorder="1" applyAlignment="1">
      <alignment vertical="center"/>
    </xf>
    <xf numFmtId="164" fontId="6" fillId="0" borderId="0" xfId="0" applyNumberFormat="1" applyFont="1"/>
    <xf numFmtId="43" fontId="26" fillId="0" borderId="0" xfId="1" applyFont="1"/>
    <xf numFmtId="164" fontId="26" fillId="0" borderId="0" xfId="0" applyNumberFormat="1" applyFont="1"/>
    <xf numFmtId="0" fontId="29" fillId="27" borderId="2" xfId="0" applyFont="1" applyFill="1" applyBorder="1"/>
    <xf numFmtId="3" fontId="29" fillId="27" borderId="21" xfId="0" applyNumberFormat="1" applyFont="1" applyFill="1" applyBorder="1"/>
    <xf numFmtId="0" fontId="28" fillId="27" borderId="26" xfId="0" applyFont="1" applyFill="1" applyBorder="1" applyAlignment="1">
      <alignment wrapText="1"/>
    </xf>
    <xf numFmtId="0" fontId="29" fillId="10" borderId="11" xfId="0" applyFont="1" applyFill="1" applyBorder="1" applyAlignment="1"/>
    <xf numFmtId="0" fontId="0" fillId="10" borderId="0" xfId="0" applyFill="1" applyAlignment="1"/>
    <xf numFmtId="0" fontId="0" fillId="0" borderId="0" xfId="0" applyAlignment="1">
      <alignment horizontal="left"/>
    </xf>
    <xf numFmtId="0" fontId="6" fillId="0" borderId="0" xfId="0" applyFont="1" applyAlignment="1">
      <alignment horizontal="right"/>
    </xf>
    <xf numFmtId="0" fontId="25" fillId="0" borderId="4" xfId="0" applyNumberFormat="1" applyFont="1" applyBorder="1" applyAlignment="1">
      <alignment horizontal="center" wrapText="1"/>
    </xf>
    <xf numFmtId="10" fontId="25" fillId="0" borderId="3" xfId="4" applyNumberFormat="1" applyFont="1" applyBorder="1"/>
    <xf numFmtId="0" fontId="25" fillId="0" borderId="26" xfId="0" quotePrefix="1" applyNumberFormat="1" applyFont="1" applyFill="1" applyBorder="1" applyAlignment="1">
      <alignment horizontal="left"/>
    </xf>
    <xf numFmtId="10" fontId="25" fillId="0" borderId="9" xfId="4" applyNumberFormat="1" applyFont="1" applyBorder="1"/>
    <xf numFmtId="0" fontId="25" fillId="18" borderId="26" xfId="0" quotePrefix="1" applyNumberFormat="1" applyFont="1" applyFill="1" applyBorder="1" applyAlignment="1">
      <alignment horizontal="left"/>
    </xf>
    <xf numFmtId="10" fontId="25" fillId="18" borderId="27" xfId="4" applyNumberFormat="1" applyFont="1" applyFill="1" applyBorder="1"/>
    <xf numFmtId="10" fontId="25" fillId="0" borderId="27" xfId="4" applyNumberFormat="1" applyFont="1" applyBorder="1"/>
    <xf numFmtId="1" fontId="25" fillId="0" borderId="26" xfId="0" applyNumberFormat="1" applyFont="1" applyBorder="1" applyAlignment="1">
      <alignment horizontal="left"/>
    </xf>
    <xf numFmtId="1" fontId="25" fillId="18" borderId="26" xfId="0" applyNumberFormat="1" applyFont="1" applyFill="1" applyBorder="1" applyAlignment="1">
      <alignment horizontal="left"/>
    </xf>
    <xf numFmtId="1" fontId="25" fillId="10" borderId="2" xfId="0" applyNumberFormat="1" applyFont="1" applyFill="1" applyBorder="1" applyAlignment="1">
      <alignment horizontal="left"/>
    </xf>
    <xf numFmtId="10" fontId="25" fillId="0" borderId="8" xfId="4" applyNumberFormat="1" applyFont="1" applyBorder="1"/>
    <xf numFmtId="1" fontId="25" fillId="18" borderId="6" xfId="0" applyNumberFormat="1" applyFont="1" applyFill="1" applyBorder="1" applyAlignment="1">
      <alignment horizontal="left"/>
    </xf>
    <xf numFmtId="10" fontId="25" fillId="18" borderId="8" xfId="4" applyNumberFormat="1" applyFont="1" applyFill="1" applyBorder="1"/>
    <xf numFmtId="3" fontId="22" fillId="26" borderId="31" xfId="0" applyNumberFormat="1" applyFont="1" applyFill="1" applyBorder="1" applyAlignment="1">
      <alignment horizontal="right"/>
    </xf>
    <xf numFmtId="3" fontId="38" fillId="9" borderId="50" xfId="0" applyNumberFormat="1" applyFont="1" applyFill="1" applyBorder="1" applyAlignment="1">
      <alignment horizontal="right"/>
    </xf>
    <xf numFmtId="3" fontId="22" fillId="9" borderId="50" xfId="0" applyNumberFormat="1" applyFont="1" applyFill="1" applyBorder="1" applyAlignment="1">
      <alignment horizontal="right"/>
    </xf>
    <xf numFmtId="3" fontId="22" fillId="26" borderId="47" xfId="0" applyNumberFormat="1" applyFont="1" applyFill="1" applyBorder="1" applyAlignment="1">
      <alignment horizontal="right"/>
    </xf>
    <xf numFmtId="3" fontId="38" fillId="9" borderId="20" xfId="0" applyNumberFormat="1" applyFont="1" applyFill="1" applyBorder="1" applyAlignment="1">
      <alignment horizontal="right"/>
    </xf>
    <xf numFmtId="3" fontId="22" fillId="26" borderId="52" xfId="0" applyNumberFormat="1" applyFont="1" applyFill="1" applyBorder="1" applyAlignment="1">
      <alignment horizontal="right"/>
    </xf>
    <xf numFmtId="3" fontId="38" fillId="9" borderId="51" xfId="0" applyNumberFormat="1" applyFont="1" applyFill="1" applyBorder="1" applyAlignment="1">
      <alignment horizontal="right"/>
    </xf>
    <xf numFmtId="9" fontId="22" fillId="26" borderId="48" xfId="4" applyFont="1" applyFill="1" applyBorder="1" applyAlignment="1">
      <alignment horizontal="right"/>
    </xf>
    <xf numFmtId="9" fontId="38" fillId="9" borderId="51" xfId="4" applyFont="1" applyFill="1" applyBorder="1" applyAlignment="1">
      <alignment horizontal="right"/>
    </xf>
    <xf numFmtId="3" fontId="13" fillId="0" borderId="3" xfId="0" applyNumberFormat="1" applyFont="1" applyFill="1" applyBorder="1" applyAlignment="1">
      <alignment vertical="center"/>
    </xf>
    <xf numFmtId="37" fontId="11" fillId="6" borderId="1" xfId="0" applyNumberFormat="1" applyFont="1" applyFill="1" applyBorder="1" applyAlignment="1">
      <alignment vertical="center"/>
    </xf>
    <xf numFmtId="37" fontId="11" fillId="0" borderId="1" xfId="0" applyNumberFormat="1" applyFont="1" applyFill="1" applyBorder="1" applyAlignment="1">
      <alignment vertical="center"/>
    </xf>
    <xf numFmtId="37" fontId="11" fillId="12" borderId="1" xfId="0" applyNumberFormat="1" applyFont="1" applyFill="1" applyBorder="1" applyAlignment="1">
      <alignment vertical="center"/>
    </xf>
    <xf numFmtId="37" fontId="47" fillId="12" borderId="1" xfId="0" applyNumberFormat="1" applyFont="1" applyFill="1" applyBorder="1" applyAlignment="1">
      <alignment vertical="center"/>
    </xf>
    <xf numFmtId="3" fontId="56" fillId="0" borderId="0" xfId="0" applyNumberFormat="1" applyFont="1" applyFill="1" applyBorder="1" applyAlignment="1">
      <alignment horizontal="right" vertical="top" wrapText="1" readingOrder="1"/>
    </xf>
    <xf numFmtId="9" fontId="6" fillId="16" borderId="0" xfId="4" applyFont="1" applyFill="1" applyBorder="1"/>
    <xf numFmtId="3" fontId="12" fillId="0" borderId="2" xfId="0" applyNumberFormat="1" applyFont="1" applyFill="1" applyBorder="1" applyAlignment="1">
      <alignment horizontal="center"/>
    </xf>
    <xf numFmtId="3" fontId="11" fillId="0" borderId="2" xfId="0" applyNumberFormat="1" applyFont="1" applyFill="1" applyBorder="1" applyAlignment="1">
      <alignment horizontal="center" vertical="center"/>
    </xf>
    <xf numFmtId="0" fontId="13" fillId="0" borderId="2" xfId="0" applyFont="1" applyFill="1" applyBorder="1" applyAlignment="1">
      <alignment vertical="center"/>
    </xf>
    <xf numFmtId="3" fontId="47" fillId="0" borderId="2" xfId="4" applyNumberFormat="1" applyFont="1" applyFill="1" applyBorder="1" applyAlignment="1">
      <alignment horizontal="right"/>
    </xf>
    <xf numFmtId="3" fontId="11" fillId="0" borderId="2" xfId="0" applyNumberFormat="1" applyFont="1" applyFill="1" applyBorder="1" applyAlignment="1">
      <alignment vertical="center"/>
    </xf>
    <xf numFmtId="164" fontId="47" fillId="0" borderId="2" xfId="1" applyNumberFormat="1" applyFont="1" applyFill="1" applyBorder="1" applyAlignment="1">
      <alignment horizontal="right"/>
    </xf>
    <xf numFmtId="3" fontId="12" fillId="0" borderId="2" xfId="0" applyNumberFormat="1" applyFont="1" applyFill="1" applyBorder="1" applyAlignment="1">
      <alignment vertical="center"/>
    </xf>
    <xf numFmtId="9" fontId="6" fillId="0" borderId="2" xfId="4" applyFont="1" applyFill="1" applyBorder="1" applyAlignment="1">
      <alignment horizontal="center"/>
    </xf>
    <xf numFmtId="0" fontId="47" fillId="0" borderId="2" xfId="4" applyNumberFormat="1" applyFont="1" applyFill="1" applyBorder="1" applyAlignment="1">
      <alignment horizontal="right"/>
    </xf>
    <xf numFmtId="164" fontId="48" fillId="0" borderId="2" xfId="1" applyNumberFormat="1" applyFont="1" applyFill="1" applyBorder="1" applyAlignment="1">
      <alignment horizontal="right"/>
    </xf>
    <xf numFmtId="37" fontId="11" fillId="0" borderId="2" xfId="1" applyNumberFormat="1" applyFont="1" applyFill="1" applyBorder="1" applyAlignment="1">
      <alignment horizontal="right" vertical="center"/>
    </xf>
    <xf numFmtId="9" fontId="13" fillId="0" borderId="2" xfId="4" applyFont="1" applyFill="1" applyBorder="1" applyAlignment="1">
      <alignment horizontal="center" vertical="center"/>
    </xf>
    <xf numFmtId="3" fontId="47" fillId="0" borderId="2" xfId="4" applyNumberFormat="1" applyFont="1" applyFill="1" applyBorder="1" applyAlignment="1">
      <alignment horizontal="right" vertical="center"/>
    </xf>
    <xf numFmtId="164" fontId="47" fillId="0" borderId="2" xfId="1" applyNumberFormat="1" applyFont="1" applyFill="1" applyBorder="1" applyAlignment="1">
      <alignment horizontal="right" vertical="center"/>
    </xf>
    <xf numFmtId="3" fontId="11" fillId="0" borderId="2" xfId="4" applyNumberFormat="1" applyFont="1" applyFill="1" applyBorder="1" applyAlignment="1">
      <alignment horizontal="right" vertical="center"/>
    </xf>
    <xf numFmtId="164" fontId="11" fillId="0" borderId="2" xfId="1" applyNumberFormat="1" applyFont="1" applyFill="1" applyBorder="1" applyAlignment="1">
      <alignment horizontal="right"/>
    </xf>
    <xf numFmtId="1" fontId="54" fillId="0" borderId="2" xfId="4" applyNumberFormat="1" applyFont="1" applyFill="1" applyBorder="1" applyAlignment="1">
      <alignment horizontal="right"/>
    </xf>
    <xf numFmtId="3" fontId="16" fillId="0" borderId="4" xfId="0" applyNumberFormat="1" applyFont="1" applyFill="1" applyBorder="1" applyAlignment="1">
      <alignment horizontal="right"/>
    </xf>
    <xf numFmtId="3" fontId="50" fillId="0" borderId="2" xfId="0" applyNumberFormat="1" applyFont="1" applyFill="1" applyBorder="1" applyAlignment="1">
      <alignment horizontal="center"/>
    </xf>
    <xf numFmtId="3" fontId="47" fillId="0" borderId="2" xfId="0" applyNumberFormat="1" applyFont="1" applyFill="1" applyBorder="1" applyAlignment="1">
      <alignment horizontal="center" vertical="center"/>
    </xf>
    <xf numFmtId="0" fontId="51" fillId="0" borderId="2" xfId="0" applyFont="1" applyFill="1" applyBorder="1" applyAlignment="1">
      <alignment vertical="center"/>
    </xf>
    <xf numFmtId="1" fontId="47" fillId="0" borderId="2" xfId="0" applyNumberFormat="1" applyFont="1" applyFill="1" applyBorder="1" applyAlignment="1">
      <alignment vertical="center"/>
    </xf>
    <xf numFmtId="164" fontId="47" fillId="0" borderId="2" xfId="1" applyNumberFormat="1" applyFont="1" applyFill="1" applyBorder="1"/>
    <xf numFmtId="37" fontId="47" fillId="0" borderId="2" xfId="0" applyNumberFormat="1" applyFont="1" applyFill="1" applyBorder="1" applyAlignment="1">
      <alignment vertical="center"/>
    </xf>
    <xf numFmtId="164" fontId="50" fillId="0" borderId="2" xfId="1" applyNumberFormat="1" applyFont="1" applyFill="1" applyBorder="1"/>
    <xf numFmtId="9" fontId="52" fillId="11" borderId="2" xfId="4" applyFont="1" applyFill="1" applyBorder="1" applyAlignment="1">
      <alignment vertical="center"/>
    </xf>
    <xf numFmtId="3" fontId="51" fillId="0" borderId="2" xfId="0" applyNumberFormat="1" applyFont="1" applyFill="1" applyBorder="1" applyAlignment="1">
      <alignment vertical="center"/>
    </xf>
    <xf numFmtId="3" fontId="47" fillId="0" borderId="2" xfId="0" applyNumberFormat="1" applyFont="1" applyFill="1" applyBorder="1" applyAlignment="1">
      <alignment vertical="center"/>
    </xf>
    <xf numFmtId="3" fontId="47" fillId="0" borderId="2" xfId="0" applyNumberFormat="1" applyFont="1" applyFill="1" applyBorder="1"/>
    <xf numFmtId="37" fontId="47" fillId="0" borderId="2" xfId="1" applyNumberFormat="1" applyFont="1" applyFill="1" applyBorder="1"/>
    <xf numFmtId="0" fontId="47" fillId="0" borderId="2" xfId="0" applyFont="1" applyFill="1" applyBorder="1"/>
    <xf numFmtId="9" fontId="47" fillId="0" borderId="2" xfId="4" applyFont="1" applyFill="1" applyBorder="1" applyAlignment="1">
      <alignment horizontal="center"/>
    </xf>
    <xf numFmtId="1" fontId="47" fillId="0" borderId="2" xfId="4" applyNumberFormat="1" applyFont="1" applyFill="1" applyBorder="1" applyAlignment="1">
      <alignment horizontal="right"/>
    </xf>
    <xf numFmtId="3" fontId="50" fillId="0" borderId="2" xfId="0" applyNumberFormat="1" applyFont="1" applyFill="1" applyBorder="1" applyAlignment="1">
      <alignment vertical="center"/>
    </xf>
    <xf numFmtId="3" fontId="53" fillId="0" borderId="4" xfId="0" applyNumberFormat="1" applyFont="1" applyFill="1" applyBorder="1" applyAlignment="1">
      <alignment horizontal="right" vertical="center"/>
    </xf>
    <xf numFmtId="9" fontId="6" fillId="16" borderId="0" xfId="4" applyFont="1" applyFill="1" applyBorder="1" applyAlignment="1">
      <alignment horizontal="center"/>
    </xf>
    <xf numFmtId="3" fontId="12" fillId="2" borderId="2" xfId="0" applyNumberFormat="1" applyFont="1" applyFill="1" applyBorder="1" applyAlignment="1">
      <alignment horizontal="center" vertical="center"/>
    </xf>
    <xf numFmtId="9" fontId="6" fillId="0" borderId="2" xfId="4" applyFont="1" applyBorder="1" applyAlignment="1">
      <alignment horizontal="center"/>
    </xf>
    <xf numFmtId="0" fontId="47" fillId="0" borderId="2" xfId="0" applyFont="1" applyFill="1" applyBorder="1" applyAlignment="1">
      <alignment vertical="center"/>
    </xf>
    <xf numFmtId="164" fontId="47" fillId="0" borderId="2" xfId="1" applyNumberFormat="1" applyFont="1" applyFill="1" applyBorder="1" applyAlignment="1">
      <alignment horizontal="center"/>
    </xf>
    <xf numFmtId="164" fontId="47" fillId="0" borderId="2" xfId="1" applyNumberFormat="1" applyFont="1" applyFill="1" applyBorder="1" applyAlignment="1">
      <alignment vertical="center"/>
    </xf>
    <xf numFmtId="37" fontId="47" fillId="0" borderId="2" xfId="1" applyNumberFormat="1" applyFont="1" applyFill="1" applyBorder="1" applyAlignment="1">
      <alignment horizontal="right"/>
    </xf>
    <xf numFmtId="164" fontId="47" fillId="0" borderId="2" xfId="1" applyNumberFormat="1" applyFont="1" applyBorder="1" applyAlignment="1">
      <alignment horizontal="center"/>
    </xf>
    <xf numFmtId="164" fontId="50" fillId="0" borderId="2" xfId="1" applyNumberFormat="1" applyFont="1" applyFill="1" applyBorder="1" applyAlignment="1">
      <alignment vertical="center"/>
    </xf>
    <xf numFmtId="3" fontId="12" fillId="0" borderId="2" xfId="0" applyNumberFormat="1" applyFont="1" applyFill="1" applyBorder="1" applyAlignment="1">
      <alignment horizontal="right" vertical="center"/>
    </xf>
    <xf numFmtId="3" fontId="15" fillId="0" borderId="2" xfId="0" applyNumberFormat="1" applyFont="1" applyFill="1" applyBorder="1" applyAlignment="1">
      <alignment horizontal="right" vertical="center"/>
    </xf>
    <xf numFmtId="10" fontId="11" fillId="15" borderId="4" xfId="0" applyNumberFormat="1" applyFont="1" applyFill="1" applyBorder="1" applyAlignment="1">
      <alignment vertical="center"/>
    </xf>
    <xf numFmtId="3" fontId="50" fillId="0" borderId="2" xfId="0" applyNumberFormat="1" applyFont="1" applyFill="1" applyBorder="1" applyAlignment="1">
      <alignment horizontal="center" vertical="center"/>
    </xf>
    <xf numFmtId="0" fontId="47" fillId="0" borderId="2" xfId="0" applyFont="1" applyFill="1" applyBorder="1" applyAlignment="1">
      <alignment horizontal="center" vertical="center"/>
    </xf>
    <xf numFmtId="0" fontId="50" fillId="0" borderId="2" xfId="0" applyFont="1" applyFill="1" applyBorder="1" applyAlignment="1">
      <alignment vertical="center"/>
    </xf>
    <xf numFmtId="41" fontId="47" fillId="0" borderId="2" xfId="5" applyNumberFormat="1" applyFont="1" applyFill="1" applyBorder="1" applyAlignment="1">
      <alignment vertical="center"/>
    </xf>
    <xf numFmtId="3" fontId="53" fillId="0" borderId="55" xfId="0" applyNumberFormat="1" applyFont="1" applyFill="1" applyBorder="1" applyAlignment="1">
      <alignment horizontal="right" vertical="center"/>
    </xf>
    <xf numFmtId="9" fontId="47" fillId="16" borderId="2" xfId="4" applyFont="1" applyFill="1" applyBorder="1" applyAlignment="1">
      <alignment horizontal="center"/>
    </xf>
    <xf numFmtId="3" fontId="50" fillId="2" borderId="2" xfId="0" applyNumberFormat="1" applyFont="1" applyFill="1" applyBorder="1" applyAlignment="1">
      <alignment horizontal="center"/>
    </xf>
    <xf numFmtId="9" fontId="47" fillId="0" borderId="2" xfId="4" applyFont="1" applyBorder="1" applyAlignment="1">
      <alignment horizontal="center"/>
    </xf>
    <xf numFmtId="0" fontId="47" fillId="0" borderId="2" xfId="4" applyNumberFormat="1" applyFont="1" applyBorder="1" applyAlignment="1">
      <alignment horizontal="right"/>
    </xf>
    <xf numFmtId="164" fontId="50" fillId="0" borderId="2" xfId="1" applyNumberFormat="1" applyFont="1" applyBorder="1" applyAlignment="1">
      <alignment vertical="center"/>
    </xf>
    <xf numFmtId="3" fontId="53" fillId="0" borderId="2" xfId="0" applyNumberFormat="1" applyFont="1" applyFill="1" applyBorder="1" applyAlignment="1">
      <alignment horizontal="right" vertical="center"/>
    </xf>
    <xf numFmtId="10" fontId="47" fillId="15" borderId="4" xfId="0" applyNumberFormat="1" applyFont="1" applyFill="1" applyBorder="1"/>
    <xf numFmtId="164" fontId="50" fillId="0" borderId="2" xfId="0" applyNumberFormat="1" applyFont="1" applyFill="1" applyBorder="1" applyAlignment="1">
      <alignment vertical="center"/>
    </xf>
    <xf numFmtId="3" fontId="53" fillId="10" borderId="4" xfId="0" applyNumberFormat="1" applyFont="1" applyFill="1" applyBorder="1" applyAlignment="1">
      <alignment horizontal="right" vertical="center"/>
    </xf>
    <xf numFmtId="164" fontId="50" fillId="0" borderId="2" xfId="1" applyNumberFormat="1" applyFont="1" applyFill="1" applyBorder="1" applyAlignment="1">
      <alignment horizontal="right" vertical="center"/>
    </xf>
    <xf numFmtId="3" fontId="53" fillId="10" borderId="2" xfId="0" applyNumberFormat="1" applyFont="1" applyFill="1" applyBorder="1" applyAlignment="1">
      <alignment horizontal="right"/>
    </xf>
    <xf numFmtId="10" fontId="47" fillId="15" borderId="4" xfId="0" applyNumberFormat="1" applyFont="1" applyFill="1" applyBorder="1" applyAlignment="1">
      <alignment vertical="center"/>
    </xf>
    <xf numFmtId="3" fontId="21" fillId="8" borderId="2" xfId="0" applyNumberFormat="1" applyFont="1" applyFill="1" applyBorder="1" applyAlignment="1">
      <alignment horizontal="center"/>
    </xf>
    <xf numFmtId="164" fontId="47" fillId="0" borderId="2" xfId="4" applyNumberFormat="1" applyFont="1" applyBorder="1" applyAlignment="1">
      <alignment horizontal="center"/>
    </xf>
    <xf numFmtId="10" fontId="47" fillId="15" borderId="2" xfId="4" applyNumberFormat="1" applyFont="1" applyFill="1" applyBorder="1"/>
    <xf numFmtId="3" fontId="47" fillId="0" borderId="2" xfId="0" applyNumberFormat="1" applyFont="1" applyBorder="1"/>
    <xf numFmtId="10" fontId="47" fillId="0" borderId="2" xfId="0" applyNumberFormat="1" applyFont="1" applyBorder="1"/>
    <xf numFmtId="10" fontId="47" fillId="0" borderId="2" xfId="4" applyNumberFormat="1" applyFont="1" applyBorder="1"/>
    <xf numFmtId="3" fontId="47" fillId="0" borderId="4" xfId="0" applyNumberFormat="1" applyFont="1" applyBorder="1"/>
    <xf numFmtId="9" fontId="6" fillId="0" borderId="0" xfId="4" applyFont="1" applyBorder="1"/>
    <xf numFmtId="1" fontId="6" fillId="0" borderId="0" xfId="0" applyNumberFormat="1" applyFont="1" applyAlignment="1">
      <alignment horizontal="left"/>
    </xf>
    <xf numFmtId="0" fontId="31" fillId="19" borderId="11" xfId="0" applyFont="1" applyFill="1" applyBorder="1"/>
    <xf numFmtId="9" fontId="31" fillId="19" borderId="0" xfId="4" applyFont="1" applyFill="1" applyBorder="1" applyAlignment="1">
      <alignment horizontal="right"/>
    </xf>
    <xf numFmtId="9" fontId="31" fillId="19" borderId="12" xfId="4" applyFont="1" applyFill="1" applyBorder="1" applyAlignment="1">
      <alignment horizontal="right"/>
    </xf>
    <xf numFmtId="1" fontId="25" fillId="28" borderId="26" xfId="0" applyNumberFormat="1" applyFont="1" applyFill="1" applyBorder="1" applyAlignment="1">
      <alignment horizontal="left"/>
    </xf>
    <xf numFmtId="164" fontId="25" fillId="28" borderId="16" xfId="1" applyNumberFormat="1" applyFont="1" applyFill="1" applyBorder="1" applyAlignment="1"/>
    <xf numFmtId="164" fontId="25" fillId="28" borderId="16" xfId="1" applyNumberFormat="1" applyFont="1" applyFill="1" applyBorder="1" applyAlignment="1">
      <alignment horizontal="right"/>
    </xf>
    <xf numFmtId="10" fontId="25" fillId="28" borderId="16" xfId="4" applyNumberFormat="1" applyFont="1" applyFill="1" applyBorder="1" applyAlignment="1">
      <alignment horizontal="right"/>
    </xf>
    <xf numFmtId="10" fontId="25" fillId="28" borderId="27" xfId="4" applyNumberFormat="1" applyFont="1" applyFill="1" applyBorder="1" applyAlignment="1">
      <alignment horizontal="right"/>
    </xf>
    <xf numFmtId="0" fontId="26" fillId="0" borderId="0" xfId="0" applyFont="1" applyAlignment="1">
      <alignment horizontal="left"/>
    </xf>
    <xf numFmtId="164" fontId="33" fillId="25" borderId="0" xfId="1" applyNumberFormat="1" applyFont="1" applyFill="1" applyBorder="1" applyAlignment="1">
      <alignment horizontal="right"/>
    </xf>
    <xf numFmtId="164" fontId="33" fillId="25" borderId="0" xfId="1" applyNumberFormat="1" applyFont="1" applyFill="1" applyBorder="1" applyAlignment="1"/>
    <xf numFmtId="0" fontId="34" fillId="0" borderId="0" xfId="0" applyFont="1" applyBorder="1"/>
    <xf numFmtId="0" fontId="33" fillId="0" borderId="46" xfId="0" applyFont="1" applyBorder="1"/>
    <xf numFmtId="0" fontId="33" fillId="0" borderId="2" xfId="0" applyFont="1" applyBorder="1"/>
    <xf numFmtId="3" fontId="33" fillId="25" borderId="29" xfId="0" applyNumberFormat="1" applyFont="1" applyFill="1" applyBorder="1"/>
    <xf numFmtId="0" fontId="34" fillId="24" borderId="23" xfId="0" applyFont="1" applyFill="1" applyBorder="1"/>
    <xf numFmtId="0" fontId="34" fillId="24" borderId="46" xfId="0" applyFont="1" applyFill="1" applyBorder="1"/>
    <xf numFmtId="0" fontId="34" fillId="24" borderId="45" xfId="0" applyFont="1" applyFill="1" applyBorder="1"/>
    <xf numFmtId="3" fontId="33" fillId="0" borderId="46" xfId="0" applyNumberFormat="1" applyFont="1" applyBorder="1"/>
    <xf numFmtId="164" fontId="47" fillId="0" borderId="1" xfId="1" applyNumberFormat="1" applyFont="1" applyFill="1" applyBorder="1" applyAlignment="1">
      <alignment horizontal="right"/>
    </xf>
    <xf numFmtId="0" fontId="12" fillId="16" borderId="42" xfId="0" applyFont="1" applyFill="1" applyBorder="1" applyAlignment="1">
      <alignment vertical="center"/>
    </xf>
    <xf numFmtId="164" fontId="47" fillId="0" borderId="1" xfId="1" applyNumberFormat="1" applyFont="1" applyFill="1" applyBorder="1"/>
    <xf numFmtId="3" fontId="47" fillId="0" borderId="1" xfId="0" applyNumberFormat="1" applyFont="1" applyFill="1" applyBorder="1" applyAlignment="1">
      <alignment vertical="center"/>
    </xf>
    <xf numFmtId="9" fontId="47" fillId="0" borderId="1" xfId="4" applyFont="1" applyFill="1" applyBorder="1" applyAlignment="1">
      <alignment horizontal="center"/>
    </xf>
    <xf numFmtId="1" fontId="47" fillId="0" borderId="1" xfId="4" applyNumberFormat="1" applyFont="1" applyFill="1" applyBorder="1" applyAlignment="1">
      <alignment horizontal="right"/>
    </xf>
    <xf numFmtId="3" fontId="12" fillId="2" borderId="1" xfId="0" applyNumberFormat="1" applyFont="1" applyFill="1" applyBorder="1" applyAlignment="1">
      <alignment horizontal="center" vertical="center"/>
    </xf>
    <xf numFmtId="0" fontId="47" fillId="0" borderId="1" xfId="0" applyFont="1" applyFill="1" applyBorder="1" applyAlignment="1">
      <alignment vertical="center"/>
    </xf>
    <xf numFmtId="37" fontId="47" fillId="0" borderId="1" xfId="1" applyNumberFormat="1" applyFont="1" applyFill="1" applyBorder="1" applyAlignment="1">
      <alignment horizontal="right"/>
    </xf>
    <xf numFmtId="3" fontId="50" fillId="0" borderId="1" xfId="0" applyNumberFormat="1" applyFont="1" applyFill="1" applyBorder="1" applyAlignment="1">
      <alignment horizontal="center" vertical="center"/>
    </xf>
    <xf numFmtId="0" fontId="47" fillId="0" borderId="1" xfId="0" applyFont="1" applyFill="1" applyBorder="1" applyAlignment="1">
      <alignment horizontal="center" vertical="center"/>
    </xf>
    <xf numFmtId="0" fontId="50" fillId="0" borderId="1" xfId="0" applyFont="1" applyFill="1" applyBorder="1" applyAlignment="1">
      <alignment vertical="center"/>
    </xf>
    <xf numFmtId="3" fontId="50" fillId="2" borderId="1" xfId="0" applyNumberFormat="1" applyFont="1" applyFill="1" applyBorder="1" applyAlignment="1">
      <alignment horizontal="center"/>
    </xf>
    <xf numFmtId="0" fontId="47" fillId="0" borderId="1" xfId="4" applyNumberFormat="1" applyFont="1" applyBorder="1" applyAlignment="1">
      <alignment horizontal="right"/>
    </xf>
    <xf numFmtId="164" fontId="50" fillId="0" borderId="1" xfId="0" applyNumberFormat="1" applyFont="1" applyFill="1" applyBorder="1" applyAlignment="1">
      <alignment vertical="center"/>
    </xf>
    <xf numFmtId="3" fontId="53" fillId="10" borderId="5" xfId="0" applyNumberFormat="1" applyFont="1" applyFill="1" applyBorder="1" applyAlignment="1">
      <alignment horizontal="right" vertical="center"/>
    </xf>
    <xf numFmtId="164" fontId="50" fillId="0" borderId="1" xfId="1" applyNumberFormat="1" applyFont="1" applyFill="1" applyBorder="1" applyAlignment="1">
      <alignment horizontal="right" vertical="center"/>
    </xf>
    <xf numFmtId="3" fontId="21" fillId="8" borderId="1" xfId="0" applyNumberFormat="1" applyFont="1" applyFill="1" applyBorder="1" applyAlignment="1">
      <alignment horizontal="center"/>
    </xf>
    <xf numFmtId="0" fontId="55" fillId="29" borderId="26" xfId="0" applyFont="1" applyFill="1" applyBorder="1" applyAlignment="1">
      <alignment wrapText="1"/>
    </xf>
    <xf numFmtId="9" fontId="37" fillId="29" borderId="16" xfId="4" applyFont="1" applyFill="1" applyBorder="1" applyAlignment="1">
      <alignment horizontal="center" vertical="center"/>
    </xf>
    <xf numFmtId="9" fontId="37" fillId="29" borderId="27" xfId="4" applyFont="1" applyFill="1" applyBorder="1" applyAlignment="1">
      <alignment horizontal="center" vertical="center"/>
    </xf>
    <xf numFmtId="164" fontId="57" fillId="0" borderId="29" xfId="1" applyNumberFormat="1" applyFont="1" applyBorder="1" applyAlignment="1">
      <alignment horizontal="right"/>
    </xf>
    <xf numFmtId="0" fontId="57" fillId="0" borderId="57" xfId="0" applyFont="1" applyBorder="1"/>
    <xf numFmtId="0" fontId="57" fillId="0" borderId="29" xfId="0" applyFont="1" applyBorder="1"/>
    <xf numFmtId="0" fontId="58" fillId="0" borderId="56" xfId="0" applyFont="1" applyBorder="1" applyAlignment="1">
      <alignment horizontal="center"/>
    </xf>
    <xf numFmtId="0" fontId="57" fillId="22" borderId="29" xfId="0" applyFont="1" applyFill="1" applyBorder="1"/>
    <xf numFmtId="164" fontId="57" fillId="22" borderId="29" xfId="1" applyNumberFormat="1" applyFont="1" applyFill="1" applyBorder="1" applyAlignment="1">
      <alignment horizontal="right"/>
    </xf>
    <xf numFmtId="0" fontId="57" fillId="0" borderId="29" xfId="0" applyFont="1" applyFill="1" applyBorder="1"/>
    <xf numFmtId="43" fontId="0" fillId="0" borderId="0" xfId="0" applyNumberFormat="1"/>
    <xf numFmtId="9" fontId="57" fillId="0" borderId="29" xfId="4" applyFont="1" applyFill="1" applyBorder="1" applyAlignment="1">
      <alignment horizontal="right"/>
    </xf>
    <xf numFmtId="164" fontId="57" fillId="0" borderId="57" xfId="1" applyNumberFormat="1" applyFont="1" applyBorder="1" applyAlignment="1">
      <alignment horizontal="right"/>
    </xf>
    <xf numFmtId="164" fontId="57" fillId="9" borderId="29" xfId="1" applyNumberFormat="1" applyFont="1" applyFill="1" applyBorder="1" applyAlignment="1">
      <alignment horizontal="right"/>
    </xf>
    <xf numFmtId="9" fontId="57" fillId="9" borderId="29" xfId="4" applyFont="1" applyFill="1" applyBorder="1" applyAlignment="1">
      <alignment horizontal="right"/>
    </xf>
    <xf numFmtId="164" fontId="57" fillId="22" borderId="23" xfId="1" applyNumberFormat="1" applyFont="1" applyFill="1" applyBorder="1" applyAlignment="1">
      <alignment horizontal="right"/>
    </xf>
    <xf numFmtId="164" fontId="25" fillId="0" borderId="45" xfId="0" applyNumberFormat="1" applyFont="1" applyFill="1" applyBorder="1"/>
    <xf numFmtId="164" fontId="25" fillId="0" borderId="29" xfId="1" applyNumberFormat="1" applyFont="1" applyFill="1" applyBorder="1" applyAlignment="1">
      <alignment horizontal="right"/>
    </xf>
    <xf numFmtId="0" fontId="25" fillId="0" borderId="29" xfId="0" applyFont="1" applyFill="1" applyBorder="1"/>
    <xf numFmtId="0" fontId="25" fillId="0" borderId="41" xfId="0" applyFont="1" applyFill="1" applyBorder="1"/>
    <xf numFmtId="164" fontId="24" fillId="0" borderId="0" xfId="0" applyNumberFormat="1" applyFont="1"/>
    <xf numFmtId="0" fontId="57" fillId="0" borderId="0" xfId="0" applyFont="1"/>
    <xf numFmtId="0" fontId="59" fillId="0" borderId="58" xfId="0" applyFont="1" applyBorder="1"/>
    <xf numFmtId="0" fontId="59" fillId="0" borderId="46" xfId="0" applyFont="1" applyBorder="1"/>
    <xf numFmtId="9" fontId="59" fillId="0" borderId="45" xfId="4" applyFont="1" applyBorder="1"/>
    <xf numFmtId="0" fontId="58" fillId="0" borderId="22" xfId="0" applyFont="1" applyBorder="1"/>
    <xf numFmtId="49" fontId="60" fillId="0" borderId="23" xfId="4" applyNumberFormat="1" applyFont="1" applyBorder="1" applyAlignment="1">
      <alignment horizontal="right"/>
    </xf>
    <xf numFmtId="0" fontId="58" fillId="0" borderId="58" xfId="0" applyFont="1" applyFill="1" applyBorder="1"/>
    <xf numFmtId="164" fontId="58" fillId="0" borderId="54" xfId="1" applyNumberFormat="1" applyFont="1" applyFill="1" applyBorder="1"/>
    <xf numFmtId="0" fontId="58" fillId="22" borderId="22" xfId="0" applyFont="1" applyFill="1" applyBorder="1"/>
    <xf numFmtId="164" fontId="58" fillId="22" borderId="23" xfId="1" applyNumberFormat="1" applyFont="1" applyFill="1" applyBorder="1"/>
    <xf numFmtId="0" fontId="58" fillId="0" borderId="46" xfId="0" applyFont="1" applyFill="1" applyBorder="1"/>
    <xf numFmtId="164" fontId="59" fillId="0" borderId="45" xfId="1" applyNumberFormat="1" applyFont="1" applyFill="1" applyBorder="1"/>
    <xf numFmtId="9" fontId="59" fillId="0" borderId="54" xfId="4" applyFont="1" applyFill="1" applyBorder="1"/>
    <xf numFmtId="0" fontId="6" fillId="0" borderId="0" xfId="0" applyNumberFormat="1" applyFont="1" applyAlignment="1">
      <alignment horizontal="left"/>
    </xf>
    <xf numFmtId="0" fontId="6" fillId="0" borderId="0" xfId="0" applyFont="1" applyAlignment="1">
      <alignment horizontal="left"/>
    </xf>
    <xf numFmtId="0" fontId="22" fillId="30" borderId="34" xfId="0" applyFont="1" applyFill="1" applyBorder="1" applyAlignment="1">
      <alignment horizontal="center" wrapText="1"/>
    </xf>
    <xf numFmtId="0" fontId="22" fillId="0" borderId="0" xfId="0" applyFont="1" applyFill="1" applyBorder="1" applyAlignment="1">
      <alignment horizontal="center"/>
    </xf>
    <xf numFmtId="164" fontId="22" fillId="30" borderId="12" xfId="1" applyNumberFormat="1" applyFont="1" applyFill="1" applyBorder="1"/>
    <xf numFmtId="164" fontId="36" fillId="30" borderId="19" xfId="1" applyNumberFormat="1" applyFont="1" applyFill="1" applyBorder="1"/>
    <xf numFmtId="164" fontId="22" fillId="30" borderId="12" xfId="1" applyNumberFormat="1" applyFont="1" applyFill="1" applyBorder="1" applyAlignment="1">
      <alignment horizontal="right"/>
    </xf>
    <xf numFmtId="164" fontId="36" fillId="30" borderId="19" xfId="1" applyNumberFormat="1" applyFont="1" applyFill="1" applyBorder="1" applyAlignment="1">
      <alignment horizontal="right"/>
    </xf>
    <xf numFmtId="164" fontId="22" fillId="30" borderId="18" xfId="1" applyNumberFormat="1" applyFont="1" applyFill="1" applyBorder="1" applyAlignment="1">
      <alignment horizontal="right"/>
    </xf>
    <xf numFmtId="9" fontId="22" fillId="26" borderId="52" xfId="4" applyFont="1" applyFill="1" applyBorder="1" applyAlignment="1">
      <alignment horizontal="right"/>
    </xf>
    <xf numFmtId="3" fontId="29" fillId="20" borderId="21" xfId="0" applyNumberFormat="1" applyFont="1" applyFill="1" applyBorder="1" applyAlignment="1">
      <alignment horizontal="right"/>
    </xf>
    <xf numFmtId="3" fontId="29" fillId="27" borderId="21" xfId="0" applyNumberFormat="1" applyFont="1" applyFill="1" applyBorder="1" applyAlignment="1">
      <alignment horizontal="right"/>
    </xf>
    <xf numFmtId="3" fontId="29" fillId="0" borderId="2" xfId="0" applyNumberFormat="1" applyFont="1" applyFill="1" applyBorder="1"/>
    <xf numFmtId="3" fontId="29" fillId="0" borderId="3" xfId="0" applyNumberFormat="1" applyFont="1" applyFill="1" applyBorder="1" applyAlignment="1">
      <alignment horizontal="right"/>
    </xf>
    <xf numFmtId="0" fontId="30" fillId="0" borderId="0" xfId="0" applyFont="1" applyFill="1"/>
    <xf numFmtId="3" fontId="29" fillId="0" borderId="6" xfId="0" applyNumberFormat="1" applyFont="1" applyFill="1" applyBorder="1" applyAlignment="1"/>
    <xf numFmtId="3" fontId="29" fillId="0" borderId="8" xfId="0" applyNumberFormat="1" applyFont="1" applyFill="1" applyBorder="1" applyAlignment="1"/>
    <xf numFmtId="3" fontId="29" fillId="27" borderId="5" xfId="0" applyNumberFormat="1" applyFont="1" applyFill="1" applyBorder="1"/>
    <xf numFmtId="3" fontId="29" fillId="27" borderId="5" xfId="0" applyNumberFormat="1" applyFont="1" applyFill="1" applyBorder="1" applyAlignment="1">
      <alignment horizontal="right"/>
    </xf>
    <xf numFmtId="0" fontId="29" fillId="0" borderId="26" xfId="0" applyFont="1" applyFill="1" applyBorder="1"/>
    <xf numFmtId="3" fontId="29" fillId="0" borderId="26" xfId="0" applyNumberFormat="1" applyFont="1" applyFill="1" applyBorder="1"/>
    <xf numFmtId="3" fontId="29" fillId="0" borderId="27" xfId="0" applyNumberFormat="1" applyFont="1" applyFill="1" applyBorder="1" applyAlignment="1">
      <alignment horizontal="right"/>
    </xf>
    <xf numFmtId="0" fontId="29" fillId="0" borderId="21" xfId="0" applyFont="1" applyFill="1" applyBorder="1"/>
    <xf numFmtId="0" fontId="22" fillId="21" borderId="26" xfId="0" applyFont="1" applyFill="1" applyBorder="1" applyAlignment="1">
      <alignment horizontal="right"/>
    </xf>
    <xf numFmtId="0" fontId="22" fillId="21" borderId="16" xfId="0" applyFont="1" applyFill="1" applyBorder="1" applyAlignment="1">
      <alignment horizontal="right"/>
    </xf>
    <xf numFmtId="0" fontId="22" fillId="21" borderId="19" xfId="0" applyFont="1" applyFill="1" applyBorder="1"/>
    <xf numFmtId="164" fontId="61" fillId="13" borderId="12" xfId="1" applyNumberFormat="1" applyFont="1" applyFill="1" applyBorder="1"/>
    <xf numFmtId="0" fontId="62" fillId="13" borderId="19" xfId="0" applyFont="1" applyFill="1" applyBorder="1"/>
    <xf numFmtId="164" fontId="61" fillId="13" borderId="12" xfId="1" applyNumberFormat="1" applyFont="1" applyFill="1" applyBorder="1" applyAlignment="1">
      <alignment horizontal="right"/>
    </xf>
    <xf numFmtId="0" fontId="61" fillId="13" borderId="34" xfId="0" applyFont="1" applyFill="1" applyBorder="1" applyAlignment="1">
      <alignment horizontal="center" wrapText="1"/>
    </xf>
    <xf numFmtId="165" fontId="0" fillId="19" borderId="0" xfId="0" applyNumberFormat="1" applyFill="1" applyAlignment="1"/>
    <xf numFmtId="165" fontId="0" fillId="19" borderId="0" xfId="0" applyNumberFormat="1" applyFill="1"/>
    <xf numFmtId="3" fontId="29" fillId="31" borderId="0" xfId="0" applyNumberFormat="1" applyFont="1" applyFill="1" applyBorder="1"/>
    <xf numFmtId="1" fontId="25" fillId="32" borderId="26" xfId="0" applyNumberFormat="1" applyFont="1" applyFill="1" applyBorder="1" applyAlignment="1">
      <alignment horizontal="left"/>
    </xf>
    <xf numFmtId="164" fontId="25" fillId="32" borderId="16" xfId="1" applyNumberFormat="1" applyFont="1" applyFill="1" applyBorder="1" applyAlignment="1"/>
    <xf numFmtId="164" fontId="25" fillId="32" borderId="16" xfId="1" applyNumberFormat="1" applyFont="1" applyFill="1" applyBorder="1" applyAlignment="1">
      <alignment horizontal="right"/>
    </xf>
    <xf numFmtId="10" fontId="25" fillId="32" borderId="16" xfId="4" applyNumberFormat="1" applyFont="1" applyFill="1" applyBorder="1" applyAlignment="1">
      <alignment horizontal="right"/>
    </xf>
    <xf numFmtId="10" fontId="25" fillId="32" borderId="27" xfId="4" applyNumberFormat="1" applyFont="1" applyFill="1" applyBorder="1" applyAlignment="1">
      <alignment horizontal="right"/>
    </xf>
    <xf numFmtId="43" fontId="26" fillId="0" borderId="0" xfId="0" applyNumberFormat="1" applyFont="1"/>
    <xf numFmtId="9" fontId="22" fillId="30" borderId="52" xfId="4" applyFont="1" applyFill="1" applyBorder="1" applyAlignment="1">
      <alignment horizontal="right"/>
    </xf>
    <xf numFmtId="9" fontId="61" fillId="13" borderId="52" xfId="4" applyFont="1" applyFill="1" applyBorder="1" applyAlignment="1">
      <alignment horizontal="right"/>
    </xf>
    <xf numFmtId="0" fontId="58" fillId="0" borderId="0" xfId="0" applyFont="1" applyBorder="1"/>
    <xf numFmtId="0" fontId="57" fillId="0" borderId="0" xfId="0" applyFont="1" applyBorder="1"/>
    <xf numFmtId="0" fontId="57" fillId="0" borderId="0" xfId="0" applyFont="1" applyFill="1" applyBorder="1"/>
    <xf numFmtId="3" fontId="57" fillId="0" borderId="21" xfId="0" applyNumberFormat="1" applyFont="1" applyBorder="1"/>
    <xf numFmtId="3" fontId="57" fillId="0" borderId="56" xfId="0" applyNumberFormat="1" applyFont="1" applyBorder="1"/>
    <xf numFmtId="0" fontId="25" fillId="0" borderId="0" xfId="0" applyFont="1" applyFill="1" applyBorder="1"/>
    <xf numFmtId="0" fontId="25" fillId="0" borderId="0" xfId="0" applyFont="1" applyBorder="1"/>
    <xf numFmtId="0" fontId="0" fillId="0" borderId="0" xfId="0" applyBorder="1"/>
    <xf numFmtId="3" fontId="57" fillId="0" borderId="0" xfId="0" applyNumberFormat="1" applyFont="1" applyBorder="1"/>
    <xf numFmtId="164" fontId="58" fillId="0" borderId="0" xfId="1" applyNumberFormat="1" applyFont="1" applyBorder="1"/>
    <xf numFmtId="0" fontId="58" fillId="0" borderId="0" xfId="0" applyFont="1" applyFill="1" applyBorder="1"/>
    <xf numFmtId="164" fontId="58" fillId="0" borderId="56" xfId="1" applyNumberFormat="1" applyFont="1" applyFill="1" applyBorder="1" applyAlignment="1"/>
    <xf numFmtId="164" fontId="25" fillId="0" borderId="0" xfId="0" applyNumberFormat="1" applyFont="1"/>
    <xf numFmtId="164" fontId="25" fillId="0" borderId="56" xfId="0" applyNumberFormat="1" applyFont="1" applyBorder="1"/>
    <xf numFmtId="0" fontId="26" fillId="32" borderId="0" xfId="0" applyFont="1" applyFill="1"/>
    <xf numFmtId="0" fontId="4" fillId="0" borderId="0" xfId="0" applyFont="1" applyAlignment="1">
      <alignment horizontal="center"/>
    </xf>
    <xf numFmtId="165" fontId="0" fillId="19" borderId="0" xfId="1" applyNumberFormat="1" applyFont="1" applyFill="1" applyAlignment="1">
      <alignment horizontal="right"/>
    </xf>
    <xf numFmtId="0" fontId="33" fillId="0" borderId="59" xfId="0" applyFont="1" applyBorder="1"/>
    <xf numFmtId="0" fontId="2" fillId="0" borderId="29" xfId="0" applyFont="1" applyBorder="1"/>
    <xf numFmtId="3" fontId="33" fillId="0" borderId="41" xfId="0" applyNumberFormat="1" applyFont="1" applyBorder="1"/>
    <xf numFmtId="0" fontId="33" fillId="24" borderId="46" xfId="0" applyFont="1" applyFill="1" applyBorder="1" applyAlignment="1">
      <alignment horizontal="center" wrapText="1"/>
    </xf>
    <xf numFmtId="0" fontId="33" fillId="24" borderId="43" xfId="0" applyFont="1" applyFill="1" applyBorder="1" applyAlignment="1">
      <alignment horizontal="center" wrapText="1"/>
    </xf>
    <xf numFmtId="0" fontId="33" fillId="24" borderId="45" xfId="0" applyFont="1" applyFill="1" applyBorder="1" applyAlignment="1">
      <alignment horizontal="center" wrapText="1"/>
    </xf>
    <xf numFmtId="9" fontId="6" fillId="16" borderId="1" xfId="4" applyFont="1" applyFill="1" applyBorder="1" applyAlignment="1">
      <alignment horizontal="center"/>
    </xf>
    <xf numFmtId="3" fontId="56" fillId="0" borderId="1" xfId="0" applyNumberFormat="1" applyFont="1" applyFill="1" applyBorder="1" applyAlignment="1">
      <alignment horizontal="right" vertical="top" wrapText="1" readingOrder="1"/>
    </xf>
    <xf numFmtId="9" fontId="6" fillId="16" borderId="42" xfId="4" applyFont="1" applyFill="1" applyBorder="1" applyAlignment="1">
      <alignment horizontal="center"/>
    </xf>
    <xf numFmtId="0" fontId="11" fillId="9" borderId="1" xfId="0" applyFont="1" applyFill="1" applyBorder="1" applyAlignment="1">
      <alignment vertical="center"/>
    </xf>
    <xf numFmtId="164" fontId="47" fillId="9" borderId="1" xfId="1" applyNumberFormat="1" applyFont="1" applyFill="1" applyBorder="1" applyAlignment="1">
      <alignment horizontal="right"/>
    </xf>
    <xf numFmtId="37" fontId="11" fillId="9" borderId="1" xfId="1" applyNumberFormat="1" applyFont="1" applyFill="1" applyBorder="1" applyAlignment="1">
      <alignment horizontal="right" vertical="center"/>
    </xf>
    <xf numFmtId="3" fontId="47" fillId="9" borderId="1" xfId="1" applyNumberFormat="1" applyFont="1" applyFill="1" applyBorder="1" applyAlignment="1">
      <alignment vertical="center"/>
    </xf>
    <xf numFmtId="37" fontId="11" fillId="9" borderId="1" xfId="1" applyNumberFormat="1" applyFont="1" applyFill="1" applyBorder="1" applyAlignment="1">
      <alignment horizontal="right"/>
    </xf>
    <xf numFmtId="1" fontId="54" fillId="9" borderId="1" xfId="4" applyNumberFormat="1" applyFont="1" applyFill="1" applyBorder="1" applyAlignment="1">
      <alignment horizontal="right"/>
    </xf>
    <xf numFmtId="3" fontId="50" fillId="12" borderId="1" xfId="0" applyNumberFormat="1" applyFont="1" applyFill="1" applyBorder="1" applyAlignment="1">
      <alignment horizontal="center"/>
    </xf>
    <xf numFmtId="1" fontId="47" fillId="12" borderId="1" xfId="0" applyNumberFormat="1" applyFont="1" applyFill="1" applyBorder="1" applyAlignment="1">
      <alignment vertical="center"/>
    </xf>
    <xf numFmtId="37" fontId="47" fillId="12" borderId="1" xfId="1" applyNumberFormat="1" applyFont="1" applyFill="1" applyBorder="1"/>
    <xf numFmtId="1" fontId="47" fillId="12" borderId="1" xfId="4" applyNumberFormat="1" applyFont="1" applyFill="1" applyBorder="1" applyAlignment="1">
      <alignment horizontal="right"/>
    </xf>
    <xf numFmtId="0" fontId="50" fillId="33" borderId="1" xfId="0" applyFont="1" applyFill="1" applyBorder="1" applyAlignment="1">
      <alignment vertical="center"/>
    </xf>
    <xf numFmtId="0" fontId="47" fillId="33" borderId="1" xfId="0" applyFont="1" applyFill="1" applyBorder="1" applyAlignment="1">
      <alignment vertical="center"/>
    </xf>
    <xf numFmtId="164" fontId="47" fillId="33" borderId="1" xfId="1" applyNumberFormat="1" applyFont="1" applyFill="1" applyBorder="1" applyAlignment="1">
      <alignment vertical="center"/>
    </xf>
    <xf numFmtId="164" fontId="50" fillId="33" borderId="1" xfId="1" applyNumberFormat="1" applyFont="1" applyFill="1" applyBorder="1" applyAlignment="1">
      <alignment vertical="center"/>
    </xf>
    <xf numFmtId="41" fontId="47" fillId="33" borderId="1" xfId="5" applyNumberFormat="1" applyFont="1" applyFill="1" applyBorder="1" applyAlignment="1">
      <alignment vertical="center"/>
    </xf>
    <xf numFmtId="0" fontId="51" fillId="33" borderId="1" xfId="0" applyFont="1" applyFill="1" applyBorder="1" applyAlignment="1">
      <alignment vertical="center"/>
    </xf>
    <xf numFmtId="0" fontId="22" fillId="0" borderId="0" xfId="0" applyFont="1" applyFill="1" applyBorder="1" applyAlignment="1">
      <alignment horizontal="center"/>
    </xf>
    <xf numFmtId="3" fontId="50" fillId="34" borderId="1" xfId="0" applyNumberFormat="1" applyFont="1" applyFill="1" applyBorder="1" applyAlignment="1">
      <alignment horizontal="center" vertical="center"/>
    </xf>
    <xf numFmtId="0" fontId="47" fillId="34" borderId="1" xfId="0" applyFont="1" applyFill="1" applyBorder="1" applyAlignment="1">
      <alignment horizontal="center" vertical="center"/>
    </xf>
    <xf numFmtId="0" fontId="50" fillId="34" borderId="1" xfId="0" applyFont="1" applyFill="1" applyBorder="1" applyAlignment="1">
      <alignment vertical="center"/>
    </xf>
    <xf numFmtId="0" fontId="47" fillId="34" borderId="1" xfId="0" applyFont="1" applyFill="1" applyBorder="1" applyAlignment="1">
      <alignment vertical="center"/>
    </xf>
    <xf numFmtId="164" fontId="47" fillId="34" borderId="1" xfId="1" applyNumberFormat="1" applyFont="1" applyFill="1" applyBorder="1" applyAlignment="1">
      <alignment horizontal="center"/>
    </xf>
    <xf numFmtId="164" fontId="47" fillId="34" borderId="1" xfId="1" applyNumberFormat="1" applyFont="1" applyFill="1" applyBorder="1" applyAlignment="1">
      <alignment vertical="center"/>
    </xf>
    <xf numFmtId="164" fontId="50" fillId="34" borderId="1" xfId="1" applyNumberFormat="1" applyFont="1" applyFill="1" applyBorder="1" applyAlignment="1">
      <alignment vertical="center"/>
    </xf>
    <xf numFmtId="3" fontId="38" fillId="36" borderId="50" xfId="0" applyNumberFormat="1" applyFont="1" applyFill="1" applyBorder="1"/>
    <xf numFmtId="3" fontId="38" fillId="36" borderId="20" xfId="0" applyNumberFormat="1" applyFont="1" applyFill="1" applyBorder="1"/>
    <xf numFmtId="3" fontId="38" fillId="36" borderId="50" xfId="0" applyNumberFormat="1" applyFont="1" applyFill="1" applyBorder="1" applyAlignment="1">
      <alignment horizontal="right"/>
    </xf>
    <xf numFmtId="3" fontId="22" fillId="36" borderId="50" xfId="0" applyNumberFormat="1" applyFont="1" applyFill="1" applyBorder="1" applyAlignment="1">
      <alignment horizontal="right"/>
    </xf>
    <xf numFmtId="3" fontId="38" fillId="36" borderId="20" xfId="0" applyNumberFormat="1" applyFont="1" applyFill="1" applyBorder="1" applyAlignment="1">
      <alignment horizontal="right"/>
    </xf>
    <xf numFmtId="3" fontId="38" fillId="36" borderId="51" xfId="0" applyNumberFormat="1" applyFont="1" applyFill="1" applyBorder="1" applyAlignment="1">
      <alignment horizontal="right"/>
    </xf>
    <xf numFmtId="9" fontId="38" fillId="36" borderId="51" xfId="4" applyFont="1" applyFill="1" applyBorder="1" applyAlignment="1">
      <alignment horizontal="right"/>
    </xf>
    <xf numFmtId="3" fontId="22" fillId="13" borderId="31" xfId="0" applyNumberFormat="1" applyFont="1" applyFill="1" applyBorder="1"/>
    <xf numFmtId="3" fontId="22" fillId="13" borderId="47" xfId="0" applyNumberFormat="1" applyFont="1" applyFill="1" applyBorder="1"/>
    <xf numFmtId="3" fontId="22" fillId="13" borderId="31" xfId="0" applyNumberFormat="1" applyFont="1" applyFill="1" applyBorder="1" applyAlignment="1">
      <alignment horizontal="right"/>
    </xf>
    <xf numFmtId="3" fontId="22" fillId="13" borderId="47" xfId="0" applyNumberFormat="1" applyFont="1" applyFill="1" applyBorder="1" applyAlignment="1">
      <alignment horizontal="right"/>
    </xf>
    <xf numFmtId="3" fontId="22" fillId="13" borderId="52" xfId="0" applyNumberFormat="1" applyFont="1" applyFill="1" applyBorder="1" applyAlignment="1">
      <alignment horizontal="right"/>
    </xf>
    <xf numFmtId="9" fontId="22" fillId="13" borderId="52" xfId="4" applyFont="1" applyFill="1" applyBorder="1" applyAlignment="1">
      <alignment horizontal="right"/>
    </xf>
    <xf numFmtId="0" fontId="22" fillId="13" borderId="34" xfId="0" applyFont="1" applyFill="1" applyBorder="1" applyAlignment="1">
      <alignment horizontal="center" wrapText="1"/>
    </xf>
    <xf numFmtId="0" fontId="22" fillId="35" borderId="34" xfId="0" applyFont="1" applyFill="1" applyBorder="1" applyAlignment="1">
      <alignment horizontal="center" wrapText="1"/>
    </xf>
    <xf numFmtId="164" fontId="22" fillId="35" borderId="12" xfId="1" applyNumberFormat="1" applyFont="1" applyFill="1" applyBorder="1" applyAlignment="1">
      <alignment horizontal="right"/>
    </xf>
    <xf numFmtId="164" fontId="36" fillId="35" borderId="19" xfId="1" applyNumberFormat="1" applyFont="1" applyFill="1" applyBorder="1"/>
    <xf numFmtId="164" fontId="36" fillId="35" borderId="19" xfId="1" applyNumberFormat="1" applyFont="1" applyFill="1" applyBorder="1" applyAlignment="1">
      <alignment horizontal="right"/>
    </xf>
    <xf numFmtId="164" fontId="22" fillId="35" borderId="18" xfId="1" applyNumberFormat="1" applyFont="1" applyFill="1" applyBorder="1" applyAlignment="1">
      <alignment horizontal="right"/>
    </xf>
    <xf numFmtId="9" fontId="22" fillId="35" borderId="52" xfId="4" applyFont="1" applyFill="1" applyBorder="1" applyAlignment="1">
      <alignment horizontal="right"/>
    </xf>
    <xf numFmtId="164" fontId="64" fillId="32" borderId="16" xfId="1" applyNumberFormat="1" applyFont="1" applyFill="1" applyBorder="1" applyAlignment="1"/>
    <xf numFmtId="0" fontId="19" fillId="0" borderId="0" xfId="0" applyFont="1" applyFill="1" applyBorder="1" applyAlignment="1">
      <alignment vertical="center"/>
    </xf>
    <xf numFmtId="0" fontId="12" fillId="3" borderId="1" xfId="0" applyFont="1" applyFill="1" applyBorder="1" applyAlignment="1">
      <alignment horizontal="center"/>
    </xf>
    <xf numFmtId="0" fontId="12" fillId="0" borderId="1" xfId="0" applyFont="1" applyBorder="1" applyAlignment="1">
      <alignment horizontal="center" vertical="center"/>
    </xf>
    <xf numFmtId="4" fontId="11" fillId="0" borderId="1" xfId="0" applyNumberFormat="1" applyFont="1" applyBorder="1" applyAlignment="1">
      <alignment vertical="center"/>
    </xf>
    <xf numFmtId="37" fontId="11" fillId="0" borderId="1" xfId="0" applyNumberFormat="1" applyFont="1" applyBorder="1" applyAlignment="1">
      <alignment vertical="center"/>
    </xf>
    <xf numFmtId="0" fontId="11" fillId="6" borderId="1" xfId="0" applyFont="1" applyFill="1" applyBorder="1" applyAlignment="1">
      <alignment vertical="center"/>
    </xf>
    <xf numFmtId="0" fontId="18" fillId="0" borderId="1" xfId="0" applyFont="1" applyBorder="1" applyAlignment="1">
      <alignment vertical="center"/>
    </xf>
    <xf numFmtId="3" fontId="18" fillId="0" borderId="1" xfId="0" applyNumberFormat="1" applyFont="1" applyBorder="1" applyAlignment="1">
      <alignment vertical="center"/>
    </xf>
    <xf numFmtId="0" fontId="11" fillId="16" borderId="7" xfId="0" applyFont="1" applyFill="1" applyBorder="1"/>
    <xf numFmtId="0" fontId="19" fillId="0" borderId="1" xfId="0" applyFont="1" applyBorder="1" applyAlignment="1">
      <alignment vertical="center"/>
    </xf>
    <xf numFmtId="3" fontId="19" fillId="0" borderId="1" xfId="0" applyNumberFormat="1" applyFont="1" applyBorder="1" applyAlignment="1">
      <alignment vertical="center"/>
    </xf>
    <xf numFmtId="0" fontId="15" fillId="16" borderId="7" xfId="0" applyFont="1" applyFill="1" applyBorder="1"/>
    <xf numFmtId="1" fontId="12" fillId="7" borderId="1" xfId="0" applyNumberFormat="1" applyFont="1" applyFill="1" applyBorder="1" applyAlignment="1">
      <alignment horizontal="center" vertical="center"/>
    </xf>
    <xf numFmtId="0" fontId="13" fillId="7" borderId="1" xfId="0" applyFont="1" applyFill="1" applyBorder="1" applyAlignment="1">
      <alignment vertical="center"/>
    </xf>
    <xf numFmtId="3" fontId="13" fillId="7" borderId="1" xfId="0" applyNumberFormat="1" applyFont="1" applyFill="1" applyBorder="1" applyAlignment="1">
      <alignment vertical="center"/>
    </xf>
    <xf numFmtId="0" fontId="19" fillId="14" borderId="1" xfId="0" applyFont="1" applyFill="1" applyBorder="1" applyAlignment="1">
      <alignment vertical="center"/>
    </xf>
    <xf numFmtId="3" fontId="19" fillId="14" borderId="1" xfId="0" applyNumberFormat="1" applyFont="1" applyFill="1" applyBorder="1" applyAlignment="1">
      <alignment vertical="center"/>
    </xf>
    <xf numFmtId="0" fontId="21" fillId="8" borderId="1" xfId="0" applyFont="1" applyFill="1" applyBorder="1" applyAlignment="1">
      <alignment horizontal="center" vertical="center"/>
    </xf>
    <xf numFmtId="3" fontId="11" fillId="0" borderId="1" xfId="0" applyNumberFormat="1" applyFont="1" applyFill="1" applyBorder="1" applyAlignment="1">
      <alignment horizontal="right" vertical="center"/>
    </xf>
    <xf numFmtId="0" fontId="65" fillId="0" borderId="0" xfId="0" applyFont="1"/>
    <xf numFmtId="9" fontId="8" fillId="11" borderId="3" xfId="4" applyFont="1" applyFill="1" applyBorder="1" applyAlignment="1">
      <alignment vertical="center"/>
    </xf>
    <xf numFmtId="0" fontId="27" fillId="20" borderId="5" xfId="0" applyFont="1" applyFill="1" applyBorder="1" applyAlignment="1">
      <alignment horizontal="center" wrapText="1"/>
    </xf>
    <xf numFmtId="3" fontId="61" fillId="13" borderId="12" xfId="1" applyNumberFormat="1" applyFont="1" applyFill="1" applyBorder="1" applyAlignment="1">
      <alignment horizontal="right"/>
    </xf>
    <xf numFmtId="3" fontId="61" fillId="13" borderId="12" xfId="1" applyNumberFormat="1" applyFont="1" applyFill="1" applyBorder="1"/>
    <xf numFmtId="3" fontId="62" fillId="13" borderId="19" xfId="1" applyNumberFormat="1" applyFont="1" applyFill="1" applyBorder="1"/>
    <xf numFmtId="3" fontId="61" fillId="13" borderId="18" xfId="1" applyNumberFormat="1" applyFont="1" applyFill="1" applyBorder="1" applyAlignment="1">
      <alignment horizontal="right"/>
    </xf>
    <xf numFmtId="3" fontId="61" fillId="25" borderId="12" xfId="0" applyNumberFormat="1" applyFont="1" applyFill="1" applyBorder="1" applyAlignment="1">
      <alignment horizontal="right"/>
    </xf>
    <xf numFmtId="0" fontId="23" fillId="25" borderId="0" xfId="0" applyFont="1" applyFill="1"/>
    <xf numFmtId="0" fontId="27" fillId="20" borderId="26" xfId="0" applyFont="1" applyFill="1" applyBorder="1" applyAlignment="1">
      <alignment horizontal="center"/>
    </xf>
    <xf numFmtId="0" fontId="27" fillId="20" borderId="27" xfId="0" applyFont="1" applyFill="1" applyBorder="1" applyAlignment="1">
      <alignment horizontal="center"/>
    </xf>
    <xf numFmtId="0" fontId="27" fillId="20" borderId="6" xfId="0" applyFont="1" applyFill="1" applyBorder="1" applyAlignment="1">
      <alignment horizontal="center"/>
    </xf>
    <xf numFmtId="0" fontId="27" fillId="20" borderId="7" xfId="0" applyFont="1" applyFill="1" applyBorder="1" applyAlignment="1">
      <alignment horizontal="center"/>
    </xf>
    <xf numFmtId="0" fontId="27" fillId="20" borderId="8" xfId="0" applyFont="1" applyFill="1" applyBorder="1" applyAlignment="1">
      <alignment horizontal="center"/>
    </xf>
    <xf numFmtId="0" fontId="27" fillId="20" borderId="2" xfId="0" applyFont="1" applyFill="1" applyBorder="1" applyAlignment="1">
      <alignment horizontal="center"/>
    </xf>
    <xf numFmtId="0" fontId="27" fillId="20" borderId="0" xfId="0" applyFont="1" applyFill="1" applyBorder="1" applyAlignment="1">
      <alignment horizontal="center"/>
    </xf>
    <xf numFmtId="0" fontId="27" fillId="20" borderId="3" xfId="0" applyFont="1" applyFill="1" applyBorder="1" applyAlignment="1">
      <alignment horizontal="center"/>
    </xf>
    <xf numFmtId="166" fontId="27" fillId="20" borderId="2" xfId="0" applyNumberFormat="1" applyFont="1" applyFill="1" applyBorder="1" applyAlignment="1">
      <alignment horizontal="center"/>
    </xf>
    <xf numFmtId="166" fontId="27" fillId="20" borderId="0" xfId="0" applyNumberFormat="1" applyFont="1" applyFill="1" applyBorder="1" applyAlignment="1">
      <alignment horizontal="center"/>
    </xf>
    <xf numFmtId="166" fontId="27" fillId="20" borderId="3" xfId="0" applyNumberFormat="1" applyFont="1" applyFill="1" applyBorder="1" applyAlignment="1">
      <alignment horizontal="center"/>
    </xf>
    <xf numFmtId="15" fontId="32" fillId="20" borderId="4" xfId="0" applyNumberFormat="1" applyFont="1" applyFill="1" applyBorder="1" applyAlignment="1">
      <alignment horizontal="center"/>
    </xf>
    <xf numFmtId="0" fontId="30" fillId="20" borderId="17" xfId="0" applyFont="1" applyFill="1" applyBorder="1" applyAlignment="1"/>
    <xf numFmtId="0" fontId="30" fillId="20" borderId="9" xfId="0" applyFont="1" applyFill="1" applyBorder="1" applyAlignment="1"/>
    <xf numFmtId="0" fontId="33" fillId="25" borderId="24" xfId="0" applyFont="1" applyFill="1" applyBorder="1" applyAlignment="1">
      <alignment horizontal="center" vertical="center" wrapText="1"/>
    </xf>
    <xf numFmtId="0" fontId="33" fillId="25" borderId="35" xfId="0" applyFont="1" applyFill="1" applyBorder="1" applyAlignment="1">
      <alignment horizontal="center" vertical="center" wrapText="1"/>
    </xf>
    <xf numFmtId="0" fontId="33" fillId="25" borderId="36" xfId="0" applyFont="1" applyFill="1" applyBorder="1" applyAlignment="1">
      <alignment horizontal="center" vertical="center" wrapText="1"/>
    </xf>
    <xf numFmtId="0" fontId="33" fillId="0" borderId="24" xfId="0" applyFont="1" applyBorder="1" applyAlignment="1">
      <alignment horizontal="center" vertical="center" wrapText="1"/>
    </xf>
    <xf numFmtId="0" fontId="33" fillId="0" borderId="35" xfId="0" applyFont="1" applyBorder="1" applyAlignment="1">
      <alignment horizontal="center" vertical="center" wrapText="1"/>
    </xf>
    <xf numFmtId="0" fontId="33" fillId="24" borderId="24" xfId="0" applyFont="1" applyFill="1" applyBorder="1" applyAlignment="1">
      <alignment horizontal="center" vertical="center"/>
    </xf>
    <xf numFmtId="0" fontId="33" fillId="24" borderId="35" xfId="0" applyFont="1" applyFill="1" applyBorder="1" applyAlignment="1">
      <alignment horizontal="center" vertical="center"/>
    </xf>
    <xf numFmtId="0" fontId="34" fillId="24" borderId="36" xfId="0" applyFont="1" applyFill="1" applyBorder="1" applyAlignment="1">
      <alignment horizontal="center" vertical="center"/>
    </xf>
    <xf numFmtId="0" fontId="33" fillId="0" borderId="11" xfId="0" applyFont="1" applyBorder="1" applyAlignment="1">
      <alignment horizontal="center"/>
    </xf>
    <xf numFmtId="0" fontId="33" fillId="0" borderId="0" xfId="0" applyFont="1" applyBorder="1" applyAlignment="1">
      <alignment horizontal="center"/>
    </xf>
    <xf numFmtId="0" fontId="33" fillId="0" borderId="23" xfId="0" applyFont="1" applyBorder="1" applyAlignment="1">
      <alignment horizontal="center"/>
    </xf>
    <xf numFmtId="0" fontId="29" fillId="0" borderId="0" xfId="0" applyNumberFormat="1" applyFont="1" applyBorder="1" applyAlignment="1">
      <alignment horizontal="center"/>
    </xf>
    <xf numFmtId="0" fontId="29" fillId="0" borderId="0" xfId="0" quotePrefix="1" applyNumberFormat="1" applyFont="1" applyBorder="1" applyAlignment="1">
      <alignment horizontal="center"/>
    </xf>
    <xf numFmtId="0" fontId="29" fillId="0" borderId="12" xfId="0" quotePrefix="1" applyNumberFormat="1" applyFont="1" applyBorder="1" applyAlignment="1">
      <alignment horizontal="center"/>
    </xf>
    <xf numFmtId="0" fontId="29" fillId="0" borderId="32" xfId="0" applyFont="1" applyBorder="1" applyAlignment="1">
      <alignment horizontal="center" wrapText="1"/>
    </xf>
    <xf numFmtId="0" fontId="29" fillId="0" borderId="33" xfId="0" applyFont="1" applyBorder="1" applyAlignment="1">
      <alignment horizontal="center" wrapText="1"/>
    </xf>
    <xf numFmtId="0" fontId="29" fillId="0" borderId="34" xfId="0" applyFont="1" applyBorder="1" applyAlignment="1">
      <alignment horizontal="center" wrapText="1"/>
    </xf>
    <xf numFmtId="0" fontId="29" fillId="0" borderId="11" xfId="0" applyFont="1" applyBorder="1" applyAlignment="1">
      <alignment horizontal="center"/>
    </xf>
    <xf numFmtId="0" fontId="29" fillId="0" borderId="0" xfId="0" applyFont="1" applyBorder="1" applyAlignment="1">
      <alignment horizontal="center"/>
    </xf>
    <xf numFmtId="0" fontId="29" fillId="0" borderId="12" xfId="0" applyFont="1" applyBorder="1" applyAlignment="1">
      <alignment horizontal="center"/>
    </xf>
    <xf numFmtId="0" fontId="29" fillId="0" borderId="13" xfId="0" applyFont="1" applyBorder="1" applyAlignment="1">
      <alignment horizontal="left" wrapText="1"/>
    </xf>
    <xf numFmtId="0" fontId="29" fillId="0" borderId="10" xfId="0" applyFont="1" applyBorder="1" applyAlignment="1">
      <alignment horizontal="left" wrapText="1"/>
    </xf>
    <xf numFmtId="0" fontId="29" fillId="0" borderId="14" xfId="0" applyFont="1" applyBorder="1" applyAlignment="1">
      <alignment horizontal="left" wrapText="1"/>
    </xf>
    <xf numFmtId="0" fontId="25" fillId="10" borderId="0" xfId="0" applyFont="1" applyFill="1" applyBorder="1" applyAlignment="1">
      <alignment horizontal="left" wrapText="1"/>
    </xf>
    <xf numFmtId="0" fontId="25" fillId="0" borderId="0" xfId="0" applyFont="1" applyBorder="1" applyAlignment="1">
      <alignment horizontal="left"/>
    </xf>
    <xf numFmtId="0" fontId="25" fillId="0" borderId="6" xfId="0" applyFont="1" applyBorder="1" applyAlignment="1">
      <alignment horizontal="center"/>
    </xf>
    <xf numFmtId="0" fontId="25" fillId="0" borderId="7" xfId="0" applyFont="1" applyBorder="1" applyAlignment="1">
      <alignment horizontal="center"/>
    </xf>
    <xf numFmtId="0" fontId="25" fillId="0" borderId="8" xfId="0" applyFont="1" applyBorder="1" applyAlignment="1">
      <alignment horizontal="center"/>
    </xf>
    <xf numFmtId="0" fontId="25" fillId="0" borderId="7" xfId="0" applyNumberFormat="1" applyFont="1" applyBorder="1" applyAlignment="1">
      <alignment horizontal="center" wrapText="1"/>
    </xf>
    <xf numFmtId="0" fontId="45" fillId="0" borderId="0" xfId="0" applyFont="1" applyAlignment="1">
      <alignment horizontal="left" wrapText="1"/>
    </xf>
    <xf numFmtId="0" fontId="45" fillId="0" borderId="0" xfId="0" applyFont="1" applyAlignment="1">
      <alignment horizontal="left" vertical="center" wrapText="1"/>
    </xf>
    <xf numFmtId="0" fontId="23" fillId="21" borderId="53" xfId="0" applyFont="1" applyFill="1" applyBorder="1" applyAlignment="1">
      <alignment horizontal="center"/>
    </xf>
    <xf numFmtId="0" fontId="23" fillId="21" borderId="33" xfId="0" applyFont="1" applyFill="1" applyBorder="1" applyAlignment="1">
      <alignment horizontal="center"/>
    </xf>
    <xf numFmtId="0" fontId="23" fillId="21" borderId="34" xfId="0" applyFont="1" applyFill="1" applyBorder="1" applyAlignment="1">
      <alignment horizontal="center"/>
    </xf>
    <xf numFmtId="0" fontId="23" fillId="21" borderId="4" xfId="0" applyFont="1" applyFill="1" applyBorder="1" applyAlignment="1">
      <alignment horizontal="center"/>
    </xf>
    <xf numFmtId="0" fontId="23" fillId="21" borderId="17" xfId="0" applyFont="1" applyFill="1" applyBorder="1" applyAlignment="1">
      <alignment horizontal="center"/>
    </xf>
    <xf numFmtId="0" fontId="23" fillId="21" borderId="18" xfId="0" applyFont="1" applyFill="1" applyBorder="1" applyAlignment="1">
      <alignment horizontal="center"/>
    </xf>
    <xf numFmtId="0" fontId="22" fillId="0" borderId="11" xfId="0" applyFont="1" applyFill="1" applyBorder="1" applyAlignment="1">
      <alignment horizontal="center"/>
    </xf>
    <xf numFmtId="0" fontId="22" fillId="0" borderId="0" xfId="0" applyFont="1" applyFill="1" applyBorder="1" applyAlignment="1">
      <alignment horizontal="center"/>
    </xf>
    <xf numFmtId="0" fontId="22" fillId="0" borderId="3" xfId="0" applyFont="1" applyFill="1" applyBorder="1" applyAlignment="1">
      <alignment horizontal="center"/>
    </xf>
    <xf numFmtId="0" fontId="3" fillId="21" borderId="2" xfId="0" applyFont="1" applyFill="1" applyBorder="1" applyAlignment="1">
      <alignment horizontal="center"/>
    </xf>
    <xf numFmtId="0" fontId="3" fillId="21" borderId="0" xfId="0" applyFont="1" applyFill="1" applyBorder="1" applyAlignment="1">
      <alignment horizontal="center"/>
    </xf>
    <xf numFmtId="166" fontId="3" fillId="21" borderId="2" xfId="0" applyNumberFormat="1" applyFont="1" applyFill="1" applyBorder="1" applyAlignment="1">
      <alignment horizontal="center"/>
    </xf>
    <xf numFmtId="166" fontId="3" fillId="21" borderId="0" xfId="0" applyNumberFormat="1" applyFont="1" applyFill="1" applyBorder="1" applyAlignment="1">
      <alignment horizontal="center"/>
    </xf>
    <xf numFmtId="0" fontId="59" fillId="0" borderId="0" xfId="0" applyFont="1" applyBorder="1" applyAlignment="1">
      <alignment horizontal="center"/>
    </xf>
    <xf numFmtId="0" fontId="63" fillId="0" borderId="0" xfId="0" applyFont="1" applyBorder="1" applyAlignment="1">
      <alignment horizontal="center"/>
    </xf>
    <xf numFmtId="0" fontId="59" fillId="0" borderId="0" xfId="0" applyFont="1" applyFill="1" applyBorder="1" applyAlignment="1">
      <alignment horizontal="center"/>
    </xf>
    <xf numFmtId="0" fontId="22" fillId="0" borderId="0" xfId="0" applyFont="1" applyFill="1" applyBorder="1" applyAlignment="1">
      <alignment horizontal="left" wrapText="1"/>
    </xf>
    <xf numFmtId="0" fontId="22" fillId="0" borderId="26" xfId="0" applyFont="1" applyFill="1" applyBorder="1" applyAlignment="1">
      <alignment horizontal="center"/>
    </xf>
    <xf numFmtId="0" fontId="22" fillId="0" borderId="16" xfId="0" applyFont="1" applyFill="1" applyBorder="1" applyAlignment="1">
      <alignment horizontal="center"/>
    </xf>
    <xf numFmtId="0" fontId="22" fillId="0" borderId="27" xfId="0" applyFont="1" applyFill="1" applyBorder="1" applyAlignment="1">
      <alignment horizontal="center"/>
    </xf>
    <xf numFmtId="0" fontId="46" fillId="0" borderId="0" xfId="0" applyFont="1" applyAlignment="1">
      <alignment horizontal="center"/>
    </xf>
    <xf numFmtId="0" fontId="41" fillId="0" borderId="0" xfId="0" applyFont="1" applyAlignment="1">
      <alignment horizontal="center" vertical="center"/>
    </xf>
    <xf numFmtId="0" fontId="0" fillId="0" borderId="0" xfId="0" applyAlignment="1"/>
  </cellXfs>
  <cellStyles count="6">
    <cellStyle name="Comma" xfId="1" builtinId="3"/>
    <cellStyle name="Comma 2" xfId="2"/>
    <cellStyle name="Currency" xfId="5" builtinId="4"/>
    <cellStyle name="Normal" xfId="0" builtinId="0"/>
    <cellStyle name="Normal 2" xfId="3"/>
    <cellStyle name="Percent" xfId="4" builtinId="5"/>
  </cellStyles>
  <dxfs count="0"/>
  <tableStyles count="0" defaultTableStyle="TableStyleMedium9" defaultPivotStyle="PivotStyleLight16"/>
  <colors>
    <mruColors>
      <color rgb="FFCCECFF"/>
      <color rgb="FF66CCFF"/>
      <color rgb="FF99CCFF"/>
      <color rgb="FF9999FF"/>
      <color rgb="FFCCCCFF"/>
      <color rgb="FFCCFFCC"/>
      <color rgb="FFFFFF99"/>
      <color rgb="FFFFCCFF"/>
      <color rgb="FFFF99CC"/>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7.xml"/><Relationship Id="rId18" Type="http://schemas.openxmlformats.org/officeDocument/2006/relationships/worksheet" Target="worksheets/sheet9.xml"/><Relationship Id="rId26" Type="http://schemas.openxmlformats.org/officeDocument/2006/relationships/calcChain" Target="calcChain.xml"/><Relationship Id="rId3" Type="http://schemas.openxmlformats.org/officeDocument/2006/relationships/chartsheet" Target="chartsheets/sheet1.xml"/><Relationship Id="rId21" Type="http://schemas.openxmlformats.org/officeDocument/2006/relationships/worksheet" Target="worksheets/sheet12.xml"/><Relationship Id="rId7" Type="http://schemas.openxmlformats.org/officeDocument/2006/relationships/worksheet" Target="worksheets/sheet5.xml"/><Relationship Id="rId12" Type="http://schemas.openxmlformats.org/officeDocument/2006/relationships/chartsheet" Target="chartsheets/sheet6.xml"/><Relationship Id="rId17" Type="http://schemas.openxmlformats.org/officeDocument/2006/relationships/chartsheet" Target="chartsheets/sheet9.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hartsheet" Target="chartsheets/sheet8.xml"/><Relationship Id="rId20" Type="http://schemas.openxmlformats.org/officeDocument/2006/relationships/worksheet" Target="worksheets/sheet11.xml"/><Relationship Id="rId1" Type="http://schemas.openxmlformats.org/officeDocument/2006/relationships/worksheet" Target="worksheets/sheet1.xml"/><Relationship Id="rId6" Type="http://schemas.openxmlformats.org/officeDocument/2006/relationships/worksheet" Target="worksheets/sheet4.xml"/><Relationship Id="rId11" Type="http://schemas.openxmlformats.org/officeDocument/2006/relationships/chartsheet" Target="chartsheets/sheet5.xml"/><Relationship Id="rId24" Type="http://schemas.openxmlformats.org/officeDocument/2006/relationships/styles" Target="styles.xml"/><Relationship Id="rId5" Type="http://schemas.openxmlformats.org/officeDocument/2006/relationships/chartsheet" Target="chartsheets/sheet2.xml"/><Relationship Id="rId15" Type="http://schemas.openxmlformats.org/officeDocument/2006/relationships/chartsheet" Target="chartsheets/sheet7.xml"/><Relationship Id="rId23" Type="http://schemas.openxmlformats.org/officeDocument/2006/relationships/theme" Target="theme/theme1.xml"/><Relationship Id="rId10" Type="http://schemas.openxmlformats.org/officeDocument/2006/relationships/worksheet" Target="worksheets/sheet6.xml"/><Relationship Id="rId19" Type="http://schemas.openxmlformats.org/officeDocument/2006/relationships/worksheet" Target="worksheets/sheet10.xml"/><Relationship Id="rId4" Type="http://schemas.openxmlformats.org/officeDocument/2006/relationships/worksheet" Target="worksheets/sheet3.xml"/><Relationship Id="rId9" Type="http://schemas.openxmlformats.org/officeDocument/2006/relationships/chartsheet" Target="chartsheets/sheet4.xml"/><Relationship Id="rId14" Type="http://schemas.openxmlformats.org/officeDocument/2006/relationships/worksheet" Target="worksheets/sheet8.xml"/><Relationship Id="rId22" Type="http://schemas.openxmlformats.org/officeDocument/2006/relationships/worksheet" Target="worksheets/sheet1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Cranberry Acreage</a:t>
            </a:r>
            <a:r>
              <a:rPr lang="en-US" baseline="0"/>
              <a:t> Harvested </a:t>
            </a:r>
          </a:p>
        </c:rich>
      </c:tx>
    </c:title>
    <c:plotArea>
      <c:layout/>
      <c:lineChart>
        <c:grouping val="standard"/>
        <c:ser>
          <c:idx val="1"/>
          <c:order val="0"/>
          <c:tx>
            <c:strRef>
              <c:f>Acreage!$B$1</c:f>
              <c:strCache>
                <c:ptCount val="1"/>
                <c:pt idx="0">
                  <c:v>Massachusetts</c:v>
                </c:pt>
              </c:strCache>
            </c:strRef>
          </c:tx>
          <c:spPr>
            <a:ln w="50800">
              <a:solidFill>
                <a:srgbClr val="FFFF00"/>
              </a:solidFill>
            </a:ln>
          </c:spPr>
          <c:marker>
            <c:symbol val="none"/>
          </c:marker>
          <c:cat>
            <c:strRef>
              <c:f>Acreage!$A$2:$A$20</c:f>
              <c:strCach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EST 2018</c:v>
                </c:pt>
              </c:strCache>
            </c:strRef>
          </c:cat>
          <c:val>
            <c:numRef>
              <c:f>Acreage!$B$2:$B$20</c:f>
              <c:numCache>
                <c:formatCode>_(* #,##0_);_(* \(#,##0\);_(* "-"??_);_(@_)</c:formatCode>
                <c:ptCount val="19"/>
                <c:pt idx="0">
                  <c:v>13900</c:v>
                </c:pt>
                <c:pt idx="1">
                  <c:v>12000</c:v>
                </c:pt>
                <c:pt idx="2">
                  <c:v>14500</c:v>
                </c:pt>
                <c:pt idx="3">
                  <c:v>14400</c:v>
                </c:pt>
                <c:pt idx="4">
                  <c:v>14100</c:v>
                </c:pt>
                <c:pt idx="5">
                  <c:v>14100</c:v>
                </c:pt>
                <c:pt idx="6">
                  <c:v>14000</c:v>
                </c:pt>
                <c:pt idx="7">
                  <c:v>13000</c:v>
                </c:pt>
                <c:pt idx="8">
                  <c:v>13000</c:v>
                </c:pt>
                <c:pt idx="9">
                  <c:v>13000</c:v>
                </c:pt>
                <c:pt idx="10">
                  <c:v>13000</c:v>
                </c:pt>
                <c:pt idx="11">
                  <c:v>13000</c:v>
                </c:pt>
                <c:pt idx="12">
                  <c:v>13000</c:v>
                </c:pt>
                <c:pt idx="13">
                  <c:v>13200</c:v>
                </c:pt>
                <c:pt idx="14">
                  <c:v>12400</c:v>
                </c:pt>
                <c:pt idx="15">
                  <c:v>13200</c:v>
                </c:pt>
                <c:pt idx="16">
                  <c:v>12900</c:v>
                </c:pt>
                <c:pt idx="17">
                  <c:v>12300</c:v>
                </c:pt>
                <c:pt idx="18">
                  <c:v>12300</c:v>
                </c:pt>
              </c:numCache>
            </c:numRef>
          </c:val>
          <c:extLst xmlns:c16r2="http://schemas.microsoft.com/office/drawing/2015/06/chart">
            <c:ext xmlns:c16="http://schemas.microsoft.com/office/drawing/2014/chart" uri="{C3380CC4-5D6E-409C-BE32-E72D297353CC}">
              <c16:uniqueId val="{00000000-6AE3-4A60-BF07-C88795B7EF71}"/>
            </c:ext>
          </c:extLst>
        </c:ser>
        <c:ser>
          <c:idx val="2"/>
          <c:order val="1"/>
          <c:tx>
            <c:strRef>
              <c:f>Acreage!$C$1</c:f>
              <c:strCache>
                <c:ptCount val="1"/>
                <c:pt idx="0">
                  <c:v>New Jersey</c:v>
                </c:pt>
              </c:strCache>
            </c:strRef>
          </c:tx>
          <c:spPr>
            <a:ln w="50800">
              <a:solidFill>
                <a:srgbClr val="00B050"/>
              </a:solidFill>
            </a:ln>
          </c:spPr>
          <c:marker>
            <c:symbol val="none"/>
          </c:marker>
          <c:cat>
            <c:strRef>
              <c:f>Acreage!$A$2:$A$20</c:f>
              <c:strCach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EST 2018</c:v>
                </c:pt>
              </c:strCache>
            </c:strRef>
          </c:cat>
          <c:val>
            <c:numRef>
              <c:f>Acreage!$C$2:$C$20</c:f>
              <c:numCache>
                <c:formatCode>_(* #,##0_);_(* \(#,##0\);_(* "-"??_);_(@_)</c:formatCode>
                <c:ptCount val="19"/>
                <c:pt idx="0">
                  <c:v>3700</c:v>
                </c:pt>
                <c:pt idx="1">
                  <c:v>3100</c:v>
                </c:pt>
                <c:pt idx="2">
                  <c:v>3100</c:v>
                </c:pt>
                <c:pt idx="3">
                  <c:v>3200</c:v>
                </c:pt>
                <c:pt idx="4">
                  <c:v>3100</c:v>
                </c:pt>
                <c:pt idx="5">
                  <c:v>3100</c:v>
                </c:pt>
                <c:pt idx="6">
                  <c:v>3100</c:v>
                </c:pt>
                <c:pt idx="7">
                  <c:v>3100</c:v>
                </c:pt>
                <c:pt idx="8">
                  <c:v>3100</c:v>
                </c:pt>
                <c:pt idx="9">
                  <c:v>3100</c:v>
                </c:pt>
                <c:pt idx="10">
                  <c:v>3000</c:v>
                </c:pt>
                <c:pt idx="11">
                  <c:v>3000</c:v>
                </c:pt>
                <c:pt idx="12">
                  <c:v>3000</c:v>
                </c:pt>
                <c:pt idx="13">
                  <c:v>3000</c:v>
                </c:pt>
                <c:pt idx="14">
                  <c:v>3000</c:v>
                </c:pt>
                <c:pt idx="15">
                  <c:v>3000</c:v>
                </c:pt>
                <c:pt idx="16">
                  <c:v>3100</c:v>
                </c:pt>
                <c:pt idx="17">
                  <c:v>2500</c:v>
                </c:pt>
                <c:pt idx="18">
                  <c:v>2500</c:v>
                </c:pt>
              </c:numCache>
            </c:numRef>
          </c:val>
          <c:extLst xmlns:c16r2="http://schemas.microsoft.com/office/drawing/2015/06/chart">
            <c:ext xmlns:c16="http://schemas.microsoft.com/office/drawing/2014/chart" uri="{C3380CC4-5D6E-409C-BE32-E72D297353CC}">
              <c16:uniqueId val="{00000001-6AE3-4A60-BF07-C88795B7EF71}"/>
            </c:ext>
          </c:extLst>
        </c:ser>
        <c:ser>
          <c:idx val="3"/>
          <c:order val="2"/>
          <c:tx>
            <c:strRef>
              <c:f>Acreage!$D$1</c:f>
              <c:strCache>
                <c:ptCount val="1"/>
                <c:pt idx="0">
                  <c:v>Oregon</c:v>
                </c:pt>
              </c:strCache>
            </c:strRef>
          </c:tx>
          <c:spPr>
            <a:ln w="50800">
              <a:solidFill>
                <a:srgbClr val="7030A0"/>
              </a:solidFill>
            </a:ln>
          </c:spPr>
          <c:marker>
            <c:symbol val="none"/>
          </c:marker>
          <c:cat>
            <c:strRef>
              <c:f>Acreage!$A$2:$A$20</c:f>
              <c:strCach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EST 2018</c:v>
                </c:pt>
              </c:strCache>
            </c:strRef>
          </c:cat>
          <c:val>
            <c:numRef>
              <c:f>Acreage!$D$2:$D$20</c:f>
              <c:numCache>
                <c:formatCode>_(* #,##0_);_(* \(#,##0\);_(* "-"??_);_(@_)</c:formatCode>
                <c:ptCount val="19"/>
                <c:pt idx="0">
                  <c:v>2400</c:v>
                </c:pt>
                <c:pt idx="1">
                  <c:v>2400</c:v>
                </c:pt>
                <c:pt idx="2">
                  <c:v>2800</c:v>
                </c:pt>
                <c:pt idx="3">
                  <c:v>2900</c:v>
                </c:pt>
                <c:pt idx="4">
                  <c:v>2900</c:v>
                </c:pt>
                <c:pt idx="5">
                  <c:v>2700</c:v>
                </c:pt>
                <c:pt idx="6">
                  <c:v>2700</c:v>
                </c:pt>
                <c:pt idx="7">
                  <c:v>2700</c:v>
                </c:pt>
                <c:pt idx="8">
                  <c:v>2700</c:v>
                </c:pt>
                <c:pt idx="9">
                  <c:v>2700</c:v>
                </c:pt>
                <c:pt idx="10">
                  <c:v>2700</c:v>
                </c:pt>
                <c:pt idx="11">
                  <c:v>2800</c:v>
                </c:pt>
                <c:pt idx="12">
                  <c:v>2900</c:v>
                </c:pt>
                <c:pt idx="13">
                  <c:v>3000</c:v>
                </c:pt>
                <c:pt idx="14">
                  <c:v>2900</c:v>
                </c:pt>
                <c:pt idx="15">
                  <c:v>2900</c:v>
                </c:pt>
                <c:pt idx="16">
                  <c:v>2800</c:v>
                </c:pt>
                <c:pt idx="17">
                  <c:v>2800</c:v>
                </c:pt>
                <c:pt idx="18">
                  <c:v>2800</c:v>
                </c:pt>
              </c:numCache>
            </c:numRef>
          </c:val>
          <c:extLst xmlns:c16r2="http://schemas.microsoft.com/office/drawing/2015/06/chart">
            <c:ext xmlns:c16="http://schemas.microsoft.com/office/drawing/2014/chart" uri="{C3380CC4-5D6E-409C-BE32-E72D297353CC}">
              <c16:uniqueId val="{00000002-6AE3-4A60-BF07-C88795B7EF71}"/>
            </c:ext>
          </c:extLst>
        </c:ser>
        <c:ser>
          <c:idx val="4"/>
          <c:order val="3"/>
          <c:tx>
            <c:strRef>
              <c:f>Acreage!$E$1</c:f>
              <c:strCache>
                <c:ptCount val="1"/>
                <c:pt idx="0">
                  <c:v>Washington</c:v>
                </c:pt>
              </c:strCache>
            </c:strRef>
          </c:tx>
          <c:spPr>
            <a:ln w="50800">
              <a:solidFill>
                <a:schemeClr val="accent6"/>
              </a:solidFill>
            </a:ln>
          </c:spPr>
          <c:marker>
            <c:symbol val="none"/>
          </c:marker>
          <c:cat>
            <c:strRef>
              <c:f>Acreage!$A$2:$A$20</c:f>
              <c:strCach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EST 2018</c:v>
                </c:pt>
              </c:strCache>
            </c:strRef>
          </c:cat>
          <c:val>
            <c:numRef>
              <c:f>Acreage!$E$2:$E$20</c:f>
              <c:numCache>
                <c:formatCode>_(* #,##0_);_(* \(#,##0\);_(* "-"??_);_(@_)</c:formatCode>
                <c:ptCount val="19"/>
                <c:pt idx="0">
                  <c:v>1500</c:v>
                </c:pt>
                <c:pt idx="1">
                  <c:v>1600</c:v>
                </c:pt>
                <c:pt idx="2">
                  <c:v>1700</c:v>
                </c:pt>
                <c:pt idx="3">
                  <c:v>1700</c:v>
                </c:pt>
                <c:pt idx="4">
                  <c:v>1700</c:v>
                </c:pt>
                <c:pt idx="5">
                  <c:v>1700</c:v>
                </c:pt>
                <c:pt idx="6">
                  <c:v>1700</c:v>
                </c:pt>
                <c:pt idx="7">
                  <c:v>1700</c:v>
                </c:pt>
                <c:pt idx="8">
                  <c:v>1700</c:v>
                </c:pt>
                <c:pt idx="9">
                  <c:v>1700</c:v>
                </c:pt>
                <c:pt idx="10">
                  <c:v>1700</c:v>
                </c:pt>
                <c:pt idx="11">
                  <c:v>1700</c:v>
                </c:pt>
                <c:pt idx="12">
                  <c:v>1700</c:v>
                </c:pt>
                <c:pt idx="13">
                  <c:v>1700</c:v>
                </c:pt>
                <c:pt idx="14">
                  <c:v>1600</c:v>
                </c:pt>
                <c:pt idx="15">
                  <c:v>1600</c:v>
                </c:pt>
                <c:pt idx="16">
                  <c:v>1600</c:v>
                </c:pt>
                <c:pt idx="17">
                  <c:v>1500</c:v>
                </c:pt>
                <c:pt idx="18">
                  <c:v>1500</c:v>
                </c:pt>
              </c:numCache>
            </c:numRef>
          </c:val>
          <c:extLst xmlns:c16r2="http://schemas.microsoft.com/office/drawing/2015/06/chart">
            <c:ext xmlns:c16="http://schemas.microsoft.com/office/drawing/2014/chart" uri="{C3380CC4-5D6E-409C-BE32-E72D297353CC}">
              <c16:uniqueId val="{00000003-6AE3-4A60-BF07-C88795B7EF71}"/>
            </c:ext>
          </c:extLst>
        </c:ser>
        <c:ser>
          <c:idx val="5"/>
          <c:order val="4"/>
          <c:tx>
            <c:strRef>
              <c:f>Acreage!$F$1</c:f>
              <c:strCache>
                <c:ptCount val="1"/>
                <c:pt idx="0">
                  <c:v>Wisconsin</c:v>
                </c:pt>
              </c:strCache>
            </c:strRef>
          </c:tx>
          <c:spPr>
            <a:ln w="50800">
              <a:solidFill>
                <a:srgbClr val="FF0000"/>
              </a:solidFill>
            </a:ln>
          </c:spPr>
          <c:marker>
            <c:symbol val="none"/>
          </c:marker>
          <c:cat>
            <c:strRef>
              <c:f>Acreage!$A$2:$A$20</c:f>
              <c:strCach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EST 2018</c:v>
                </c:pt>
              </c:strCache>
            </c:strRef>
          </c:cat>
          <c:val>
            <c:numRef>
              <c:f>Acreage!$F$2:$F$20</c:f>
              <c:numCache>
                <c:formatCode>_(* #,##0_);_(* \(#,##0\);_(* "-"??_);_(@_)</c:formatCode>
                <c:ptCount val="19"/>
                <c:pt idx="0">
                  <c:v>15100</c:v>
                </c:pt>
                <c:pt idx="1">
                  <c:v>16500</c:v>
                </c:pt>
                <c:pt idx="2">
                  <c:v>17300</c:v>
                </c:pt>
                <c:pt idx="3">
                  <c:v>17400</c:v>
                </c:pt>
                <c:pt idx="4">
                  <c:v>17400</c:v>
                </c:pt>
                <c:pt idx="5">
                  <c:v>17400</c:v>
                </c:pt>
                <c:pt idx="6">
                  <c:v>17500</c:v>
                </c:pt>
                <c:pt idx="7">
                  <c:v>17600</c:v>
                </c:pt>
                <c:pt idx="8">
                  <c:v>17700</c:v>
                </c:pt>
                <c:pt idx="9">
                  <c:v>18000</c:v>
                </c:pt>
                <c:pt idx="10">
                  <c:v>18000</c:v>
                </c:pt>
                <c:pt idx="11">
                  <c:v>18000</c:v>
                </c:pt>
                <c:pt idx="12">
                  <c:v>19700</c:v>
                </c:pt>
                <c:pt idx="13">
                  <c:v>21100</c:v>
                </c:pt>
                <c:pt idx="14">
                  <c:v>20700</c:v>
                </c:pt>
                <c:pt idx="15">
                  <c:v>20200</c:v>
                </c:pt>
                <c:pt idx="16">
                  <c:v>21100</c:v>
                </c:pt>
                <c:pt idx="17">
                  <c:v>20600</c:v>
                </c:pt>
                <c:pt idx="18">
                  <c:v>20600</c:v>
                </c:pt>
              </c:numCache>
            </c:numRef>
          </c:val>
          <c:extLst xmlns:c16r2="http://schemas.microsoft.com/office/drawing/2015/06/chart">
            <c:ext xmlns:c16="http://schemas.microsoft.com/office/drawing/2014/chart" uri="{C3380CC4-5D6E-409C-BE32-E72D297353CC}">
              <c16:uniqueId val="{00000004-6AE3-4A60-BF07-C88795B7EF71}"/>
            </c:ext>
          </c:extLst>
        </c:ser>
        <c:ser>
          <c:idx val="6"/>
          <c:order val="5"/>
          <c:tx>
            <c:strRef>
              <c:f>Acreage!$G$1</c:f>
              <c:strCache>
                <c:ptCount val="1"/>
                <c:pt idx="0">
                  <c:v>U.S.</c:v>
                </c:pt>
              </c:strCache>
            </c:strRef>
          </c:tx>
          <c:spPr>
            <a:ln w="50800">
              <a:solidFill>
                <a:schemeClr val="tx1"/>
              </a:solidFill>
            </a:ln>
          </c:spPr>
          <c:marker>
            <c:symbol val="none"/>
          </c:marker>
          <c:cat>
            <c:strRef>
              <c:f>Acreage!$A$2:$A$20</c:f>
              <c:strCach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EST 2018</c:v>
                </c:pt>
              </c:strCache>
            </c:strRef>
          </c:cat>
          <c:val>
            <c:numRef>
              <c:f>Acreage!$G$2:$G$20</c:f>
              <c:numCache>
                <c:formatCode>_(* #,##0_);_(* \(#,##0\);_(* "-"??_);_(@_)</c:formatCode>
                <c:ptCount val="19"/>
                <c:pt idx="0">
                  <c:v>36600</c:v>
                </c:pt>
                <c:pt idx="1">
                  <c:v>35600</c:v>
                </c:pt>
                <c:pt idx="2">
                  <c:v>39400</c:v>
                </c:pt>
                <c:pt idx="3">
                  <c:v>39600</c:v>
                </c:pt>
                <c:pt idx="4">
                  <c:v>39200</c:v>
                </c:pt>
                <c:pt idx="5">
                  <c:v>39000</c:v>
                </c:pt>
                <c:pt idx="6">
                  <c:v>39000</c:v>
                </c:pt>
                <c:pt idx="7">
                  <c:v>38100</c:v>
                </c:pt>
                <c:pt idx="8">
                  <c:v>38200</c:v>
                </c:pt>
                <c:pt idx="9">
                  <c:v>38500</c:v>
                </c:pt>
                <c:pt idx="10">
                  <c:v>38500</c:v>
                </c:pt>
                <c:pt idx="11">
                  <c:v>38500</c:v>
                </c:pt>
                <c:pt idx="12">
                  <c:v>40300</c:v>
                </c:pt>
                <c:pt idx="13">
                  <c:v>42000</c:v>
                </c:pt>
                <c:pt idx="14">
                  <c:v>40600</c:v>
                </c:pt>
                <c:pt idx="15">
                  <c:v>40900</c:v>
                </c:pt>
                <c:pt idx="16">
                  <c:v>41500</c:v>
                </c:pt>
                <c:pt idx="17">
                  <c:v>39700</c:v>
                </c:pt>
                <c:pt idx="18">
                  <c:v>39700</c:v>
                </c:pt>
              </c:numCache>
            </c:numRef>
          </c:val>
          <c:extLst xmlns:c16r2="http://schemas.microsoft.com/office/drawing/2015/06/chart">
            <c:ext xmlns:c16="http://schemas.microsoft.com/office/drawing/2014/chart" uri="{C3380CC4-5D6E-409C-BE32-E72D297353CC}">
              <c16:uniqueId val="{00000005-6AE3-4A60-BF07-C88795B7EF71}"/>
            </c:ext>
          </c:extLst>
        </c:ser>
        <c:dLbls/>
        <c:marker val="1"/>
        <c:axId val="78168832"/>
        <c:axId val="78170368"/>
      </c:lineChart>
      <c:catAx>
        <c:axId val="78168832"/>
        <c:scaling>
          <c:orientation val="minMax"/>
        </c:scaling>
        <c:axPos val="b"/>
        <c:numFmt formatCode="General" sourceLinked="1"/>
        <c:tickLblPos val="nextTo"/>
        <c:txPr>
          <a:bodyPr/>
          <a:lstStyle/>
          <a:p>
            <a:pPr>
              <a:defRPr sz="1600" b="1"/>
            </a:pPr>
            <a:endParaRPr lang="en-US"/>
          </a:p>
        </c:txPr>
        <c:crossAx val="78170368"/>
        <c:crosses val="autoZero"/>
        <c:auto val="1"/>
        <c:lblAlgn val="ctr"/>
        <c:lblOffset val="100"/>
        <c:tickLblSkip val="3"/>
      </c:catAx>
      <c:valAx>
        <c:axId val="78170368"/>
        <c:scaling>
          <c:orientation val="minMax"/>
        </c:scaling>
        <c:axPos val="l"/>
        <c:majorGridlines/>
        <c:title>
          <c:tx>
            <c:rich>
              <a:bodyPr rot="-5400000" vert="horz"/>
              <a:lstStyle/>
              <a:p>
                <a:pPr>
                  <a:defRPr sz="1600"/>
                </a:pPr>
                <a:r>
                  <a:rPr lang="en-US" sz="1600"/>
                  <a:t>Acres</a:t>
                </a:r>
              </a:p>
            </c:rich>
          </c:tx>
        </c:title>
        <c:numFmt formatCode="_(* #,##0_);_(* \(#,##0\);_(* &quot;-&quot;??_);_(@_)" sourceLinked="1"/>
        <c:tickLblPos val="nextTo"/>
        <c:txPr>
          <a:bodyPr/>
          <a:lstStyle/>
          <a:p>
            <a:pPr>
              <a:defRPr sz="1600" b="1"/>
            </a:pPr>
            <a:endParaRPr lang="en-US"/>
          </a:p>
        </c:txPr>
        <c:crossAx val="78168832"/>
        <c:crosses val="autoZero"/>
        <c:crossBetween val="between"/>
      </c:valAx>
    </c:plotArea>
    <c:legend>
      <c:legendPos val="b"/>
      <c:txPr>
        <a:bodyPr/>
        <a:lstStyle/>
        <a:p>
          <a:pPr>
            <a:defRPr sz="1600" b="1"/>
          </a:pPr>
          <a:endParaRPr lang="en-US"/>
        </a:p>
      </c:txPr>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baseline="0"/>
              <a:t>US </a:t>
            </a:r>
            <a:r>
              <a:rPr lang="en-US"/>
              <a:t>Cranberry Average Yield</a:t>
            </a:r>
            <a:endParaRPr lang="en-US" baseline="0"/>
          </a:p>
        </c:rich>
      </c:tx>
    </c:title>
    <c:plotArea>
      <c:layout/>
      <c:lineChart>
        <c:grouping val="standard"/>
        <c:ser>
          <c:idx val="6"/>
          <c:order val="0"/>
          <c:tx>
            <c:strRef>
              <c:f>Yield!$G$1</c:f>
              <c:strCache>
                <c:ptCount val="1"/>
                <c:pt idx="0">
                  <c:v>U.S.</c:v>
                </c:pt>
              </c:strCache>
            </c:strRef>
          </c:tx>
          <c:spPr>
            <a:ln w="50800">
              <a:solidFill>
                <a:schemeClr val="tx1"/>
              </a:solidFill>
            </a:ln>
          </c:spPr>
          <c:marker>
            <c:symbol val="none"/>
          </c:marker>
          <c:cat>
            <c:numRef>
              <c:f>Yield!$A$3:$A$19</c:f>
              <c:numCache>
                <c:formatCode>General</c:formatCod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formatCode="0">
                  <c:v>2016</c:v>
                </c:pt>
                <c:pt idx="16">
                  <c:v>2017</c:v>
                </c:pt>
              </c:numCache>
            </c:numRef>
          </c:cat>
          <c:val>
            <c:numRef>
              <c:f>Yield!$G$3:$G$19</c:f>
              <c:numCache>
                <c:formatCode>0.0</c:formatCode>
                <c:ptCount val="17"/>
                <c:pt idx="0">
                  <c:v>149.69999999999999</c:v>
                </c:pt>
                <c:pt idx="1">
                  <c:v>144.4</c:v>
                </c:pt>
                <c:pt idx="2">
                  <c:v>156.1</c:v>
                </c:pt>
                <c:pt idx="3">
                  <c:v>157.5</c:v>
                </c:pt>
                <c:pt idx="4">
                  <c:v>160.1</c:v>
                </c:pt>
                <c:pt idx="5">
                  <c:v>176.9</c:v>
                </c:pt>
                <c:pt idx="6">
                  <c:v>172</c:v>
                </c:pt>
                <c:pt idx="7">
                  <c:v>205.9</c:v>
                </c:pt>
                <c:pt idx="8">
                  <c:v>179.6</c:v>
                </c:pt>
                <c:pt idx="9">
                  <c:v>176.8</c:v>
                </c:pt>
                <c:pt idx="10">
                  <c:v>200.3</c:v>
                </c:pt>
                <c:pt idx="11">
                  <c:v>199.6</c:v>
                </c:pt>
                <c:pt idx="12">
                  <c:v>211.4</c:v>
                </c:pt>
                <c:pt idx="13">
                  <c:v>198.49125615763546</c:v>
                </c:pt>
                <c:pt idx="14">
                  <c:v>196.79034229828852</c:v>
                </c:pt>
                <c:pt idx="15">
                  <c:v>222.90951807228916</c:v>
                </c:pt>
                <c:pt idx="16">
                  <c:v>204.58403022670026</c:v>
                </c:pt>
              </c:numCache>
              <c:extLst xmlns:c16r2="http://schemas.microsoft.com/office/drawing/2015/06/chart"/>
            </c:numRef>
          </c:val>
          <c:extLst xmlns:c16r2="http://schemas.microsoft.com/office/drawing/2015/06/chart">
            <c:ext xmlns:c16="http://schemas.microsoft.com/office/drawing/2014/chart" uri="{C3380CC4-5D6E-409C-BE32-E72D297353CC}">
              <c16:uniqueId val="{00000000-4ADA-416E-8750-A410E4805CFE}"/>
            </c:ext>
          </c:extLst>
        </c:ser>
        <c:dLbls/>
        <c:marker val="1"/>
        <c:axId val="78331264"/>
        <c:axId val="78333056"/>
      </c:lineChart>
      <c:catAx>
        <c:axId val="78331264"/>
        <c:scaling>
          <c:orientation val="minMax"/>
        </c:scaling>
        <c:axPos val="b"/>
        <c:numFmt formatCode="General" sourceLinked="1"/>
        <c:tickLblPos val="nextTo"/>
        <c:txPr>
          <a:bodyPr/>
          <a:lstStyle/>
          <a:p>
            <a:pPr>
              <a:defRPr sz="1600" b="1"/>
            </a:pPr>
            <a:endParaRPr lang="en-US"/>
          </a:p>
        </c:txPr>
        <c:crossAx val="78333056"/>
        <c:crosses val="autoZero"/>
        <c:auto val="1"/>
        <c:lblAlgn val="ctr"/>
        <c:lblOffset val="100"/>
        <c:tickLblSkip val="4"/>
      </c:catAx>
      <c:valAx>
        <c:axId val="78333056"/>
        <c:scaling>
          <c:orientation val="minMax"/>
          <c:min val="140"/>
        </c:scaling>
        <c:axPos val="l"/>
        <c:majorGridlines/>
        <c:title>
          <c:tx>
            <c:rich>
              <a:bodyPr rot="-5400000" vert="horz"/>
              <a:lstStyle/>
              <a:p>
                <a:pPr>
                  <a:defRPr sz="1600"/>
                </a:pPr>
                <a:r>
                  <a:rPr lang="en-US" sz="1600"/>
                  <a:t>Barrels</a:t>
                </a:r>
                <a:r>
                  <a:rPr lang="en-US" sz="1600" baseline="0"/>
                  <a:t> per Acre</a:t>
                </a:r>
                <a:endParaRPr lang="en-US" sz="1600"/>
              </a:p>
            </c:rich>
          </c:tx>
        </c:title>
        <c:numFmt formatCode="0.0" sourceLinked="1"/>
        <c:tickLblPos val="nextTo"/>
        <c:txPr>
          <a:bodyPr/>
          <a:lstStyle/>
          <a:p>
            <a:pPr>
              <a:defRPr sz="1600" b="1"/>
            </a:pPr>
            <a:endParaRPr lang="en-US"/>
          </a:p>
        </c:txPr>
        <c:crossAx val="78331264"/>
        <c:crosses val="autoZero"/>
        <c:crossBetween val="between"/>
      </c:valAx>
    </c:plotArea>
    <c:plotVisOnly val="1"/>
    <c:dispBlanksAs val="gap"/>
  </c:chart>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2200" b="1" i="0" u="none" strike="noStrike" baseline="0">
                <a:solidFill>
                  <a:srgbClr val="000000"/>
                </a:solidFill>
                <a:latin typeface="Calibri"/>
                <a:ea typeface="Calibri"/>
                <a:cs typeface="Calibri"/>
              </a:defRPr>
            </a:pPr>
            <a:r>
              <a:rPr lang="en-US"/>
              <a:t>Non U.S. Total Cranberry Production</a:t>
            </a:r>
          </a:p>
        </c:rich>
      </c:tx>
    </c:title>
    <c:plotArea>
      <c:layout>
        <c:manualLayout>
          <c:layoutTarget val="inner"/>
          <c:xMode val="edge"/>
          <c:yMode val="edge"/>
          <c:x val="8.4920014391874576E-2"/>
          <c:y val="0.10213898050879233"/>
          <c:w val="0.89896985086881764"/>
          <c:h val="0.73504683736567089"/>
        </c:manualLayout>
      </c:layout>
      <c:lineChart>
        <c:grouping val="standard"/>
        <c:ser>
          <c:idx val="0"/>
          <c:order val="0"/>
          <c:tx>
            <c:strRef>
              <c:f>'Canada Production'!$B$2</c:f>
              <c:strCache>
                <c:ptCount val="1"/>
                <c:pt idx="0">
                  <c:v>Quebec</c:v>
                </c:pt>
              </c:strCache>
            </c:strRef>
          </c:tx>
          <c:spPr>
            <a:ln w="50800">
              <a:solidFill>
                <a:srgbClr val="00B050"/>
              </a:solidFill>
            </a:ln>
          </c:spPr>
          <c:marker>
            <c:symbol val="none"/>
          </c:marker>
          <c:cat>
            <c:strRef>
              <c:f>'Canada Production'!$A$21:$A$30</c:f>
              <c:strCache>
                <c:ptCount val="10"/>
                <c:pt idx="0">
                  <c:v>2009</c:v>
                </c:pt>
                <c:pt idx="1">
                  <c:v>2010</c:v>
                </c:pt>
                <c:pt idx="2">
                  <c:v>2011</c:v>
                </c:pt>
                <c:pt idx="3">
                  <c:v>2012</c:v>
                </c:pt>
                <c:pt idx="4">
                  <c:v>2013</c:v>
                </c:pt>
                <c:pt idx="5">
                  <c:v>2014</c:v>
                </c:pt>
                <c:pt idx="6">
                  <c:v>2015</c:v>
                </c:pt>
                <c:pt idx="7">
                  <c:v>2016</c:v>
                </c:pt>
                <c:pt idx="8">
                  <c:v>2017</c:v>
                </c:pt>
                <c:pt idx="9">
                  <c:v>2018 Est.</c:v>
                </c:pt>
              </c:strCache>
            </c:strRef>
          </c:cat>
          <c:val>
            <c:numRef>
              <c:f>'Canada Production'!$E$21:$E$30</c:f>
              <c:numCache>
                <c:formatCode>_(* #,##0_);_(* \(#,##0\);_(* "-"??_);_(@_)</c:formatCode>
                <c:ptCount val="10"/>
                <c:pt idx="0">
                  <c:v>963619</c:v>
                </c:pt>
                <c:pt idx="1">
                  <c:v>918959</c:v>
                </c:pt>
                <c:pt idx="2">
                  <c:v>1193306</c:v>
                </c:pt>
                <c:pt idx="3">
                  <c:v>1854980</c:v>
                </c:pt>
                <c:pt idx="4">
                  <c:v>1621764</c:v>
                </c:pt>
                <c:pt idx="5">
                  <c:v>2410472.2999999998</c:v>
                </c:pt>
                <c:pt idx="6">
                  <c:v>2085387.44</c:v>
                </c:pt>
                <c:pt idx="7">
                  <c:v>2758937</c:v>
                </c:pt>
                <c:pt idx="8">
                  <c:v>1602671</c:v>
                </c:pt>
                <c:pt idx="9">
                  <c:v>2280000</c:v>
                </c:pt>
              </c:numCache>
            </c:numRef>
          </c:val>
          <c:extLst xmlns:c16r2="http://schemas.microsoft.com/office/drawing/2015/06/chart">
            <c:ext xmlns:c16="http://schemas.microsoft.com/office/drawing/2014/chart" uri="{C3380CC4-5D6E-409C-BE32-E72D297353CC}">
              <c16:uniqueId val="{00000000-CD47-4F2F-A5C3-EDC749C7EB24}"/>
            </c:ext>
          </c:extLst>
        </c:ser>
        <c:ser>
          <c:idx val="5"/>
          <c:order val="1"/>
          <c:tx>
            <c:strRef>
              <c:f>'Canada Production'!$G$2</c:f>
              <c:strCache>
                <c:ptCount val="1"/>
                <c:pt idx="0">
                  <c:v>British Columbia</c:v>
                </c:pt>
              </c:strCache>
            </c:strRef>
          </c:tx>
          <c:spPr>
            <a:ln w="50800">
              <a:solidFill>
                <a:srgbClr val="0070C0"/>
              </a:solidFill>
            </a:ln>
          </c:spPr>
          <c:marker>
            <c:symbol val="none"/>
          </c:marker>
          <c:cat>
            <c:strRef>
              <c:f>'Canada Production'!$A$21:$A$30</c:f>
              <c:strCache>
                <c:ptCount val="10"/>
                <c:pt idx="0">
                  <c:v>2009</c:v>
                </c:pt>
                <c:pt idx="1">
                  <c:v>2010</c:v>
                </c:pt>
                <c:pt idx="2">
                  <c:v>2011</c:v>
                </c:pt>
                <c:pt idx="3">
                  <c:v>2012</c:v>
                </c:pt>
                <c:pt idx="4">
                  <c:v>2013</c:v>
                </c:pt>
                <c:pt idx="5">
                  <c:v>2014</c:v>
                </c:pt>
                <c:pt idx="6">
                  <c:v>2015</c:v>
                </c:pt>
                <c:pt idx="7">
                  <c:v>2016</c:v>
                </c:pt>
                <c:pt idx="8">
                  <c:v>2017</c:v>
                </c:pt>
                <c:pt idx="9">
                  <c:v>2018 Est.</c:v>
                </c:pt>
              </c:strCache>
            </c:strRef>
          </c:cat>
          <c:val>
            <c:numRef>
              <c:f>'Canada Production'!$G$21:$G$30</c:f>
              <c:numCache>
                <c:formatCode>_(* #,##0_);_(* \(#,##0\);_(* "-"??_);_(@_)</c:formatCode>
                <c:ptCount val="10"/>
                <c:pt idx="0">
                  <c:v>826000</c:v>
                </c:pt>
                <c:pt idx="1">
                  <c:v>643897</c:v>
                </c:pt>
                <c:pt idx="2">
                  <c:v>607520</c:v>
                </c:pt>
                <c:pt idx="3">
                  <c:v>944051</c:v>
                </c:pt>
                <c:pt idx="4">
                  <c:v>941277</c:v>
                </c:pt>
                <c:pt idx="5">
                  <c:v>837538</c:v>
                </c:pt>
                <c:pt idx="6">
                  <c:v>989000</c:v>
                </c:pt>
                <c:pt idx="7">
                  <c:v>1000000</c:v>
                </c:pt>
                <c:pt idx="8">
                  <c:v>870000</c:v>
                </c:pt>
                <c:pt idx="9">
                  <c:v>1000000</c:v>
                </c:pt>
              </c:numCache>
            </c:numRef>
          </c:val>
          <c:extLst xmlns:c16r2="http://schemas.microsoft.com/office/drawing/2015/06/chart">
            <c:ext xmlns:c16="http://schemas.microsoft.com/office/drawing/2014/chart" uri="{C3380CC4-5D6E-409C-BE32-E72D297353CC}">
              <c16:uniqueId val="{00000001-CD47-4F2F-A5C3-EDC749C7EB24}"/>
            </c:ext>
          </c:extLst>
        </c:ser>
        <c:ser>
          <c:idx val="8"/>
          <c:order val="2"/>
          <c:tx>
            <c:strRef>
              <c:f>'Canada Production'!$J$2</c:f>
              <c:strCache>
                <c:ptCount val="1"/>
                <c:pt idx="0">
                  <c:v>Atlantic Canada* </c:v>
                </c:pt>
              </c:strCache>
            </c:strRef>
          </c:tx>
          <c:spPr>
            <a:ln w="50800"/>
          </c:spPr>
          <c:marker>
            <c:symbol val="none"/>
          </c:marker>
          <c:cat>
            <c:strRef>
              <c:f>'Canada Production'!$A$21:$A$30</c:f>
              <c:strCache>
                <c:ptCount val="10"/>
                <c:pt idx="0">
                  <c:v>2009</c:v>
                </c:pt>
                <c:pt idx="1">
                  <c:v>2010</c:v>
                </c:pt>
                <c:pt idx="2">
                  <c:v>2011</c:v>
                </c:pt>
                <c:pt idx="3">
                  <c:v>2012</c:v>
                </c:pt>
                <c:pt idx="4">
                  <c:v>2013</c:v>
                </c:pt>
                <c:pt idx="5">
                  <c:v>2014</c:v>
                </c:pt>
                <c:pt idx="6">
                  <c:v>2015</c:v>
                </c:pt>
                <c:pt idx="7">
                  <c:v>2016</c:v>
                </c:pt>
                <c:pt idx="8">
                  <c:v>2017</c:v>
                </c:pt>
                <c:pt idx="9">
                  <c:v>2018 Est.</c:v>
                </c:pt>
              </c:strCache>
            </c:strRef>
          </c:cat>
          <c:val>
            <c:numRef>
              <c:f>'Canada Production'!$J$21:$J$30</c:f>
              <c:numCache>
                <c:formatCode>General</c:formatCode>
                <c:ptCount val="10"/>
                <c:pt idx="0" formatCode="#,##0">
                  <c:v>0</c:v>
                </c:pt>
                <c:pt idx="2" formatCode="#,##0">
                  <c:v>110000</c:v>
                </c:pt>
                <c:pt idx="3" formatCode="#,##0">
                  <c:v>154750</c:v>
                </c:pt>
                <c:pt idx="4" formatCode="#,##0">
                  <c:v>203246</c:v>
                </c:pt>
                <c:pt idx="5" formatCode="#,##0">
                  <c:v>125000</c:v>
                </c:pt>
                <c:pt idx="6" formatCode="#,##0">
                  <c:v>197612.56000000006</c:v>
                </c:pt>
                <c:pt idx="7" formatCode="#,##0">
                  <c:v>200000</c:v>
                </c:pt>
                <c:pt idx="8" formatCode="#,##0">
                  <c:v>180000</c:v>
                </c:pt>
                <c:pt idx="9" formatCode="#,##0">
                  <c:v>200000</c:v>
                </c:pt>
              </c:numCache>
            </c:numRef>
          </c:val>
          <c:extLst xmlns:c16r2="http://schemas.microsoft.com/office/drawing/2015/06/chart">
            <c:ext xmlns:c16="http://schemas.microsoft.com/office/drawing/2014/chart" uri="{C3380CC4-5D6E-409C-BE32-E72D297353CC}">
              <c16:uniqueId val="{00000002-CD47-4F2F-A5C3-EDC749C7EB24}"/>
            </c:ext>
          </c:extLst>
        </c:ser>
        <c:ser>
          <c:idx val="9"/>
          <c:order val="3"/>
          <c:tx>
            <c:strRef>
              <c:f>'Canada Production'!$K$2</c:f>
              <c:strCache>
                <c:ptCount val="1"/>
                <c:pt idx="0">
                  <c:v>Total Canada </c:v>
                </c:pt>
              </c:strCache>
            </c:strRef>
          </c:tx>
          <c:spPr>
            <a:ln w="50800">
              <a:solidFill>
                <a:srgbClr val="FFFF00"/>
              </a:solidFill>
            </a:ln>
          </c:spPr>
          <c:marker>
            <c:symbol val="none"/>
          </c:marker>
          <c:cat>
            <c:strRef>
              <c:f>'Canada Production'!$A$21:$A$30</c:f>
              <c:strCache>
                <c:ptCount val="10"/>
                <c:pt idx="0">
                  <c:v>2009</c:v>
                </c:pt>
                <c:pt idx="1">
                  <c:v>2010</c:v>
                </c:pt>
                <c:pt idx="2">
                  <c:v>2011</c:v>
                </c:pt>
                <c:pt idx="3">
                  <c:v>2012</c:v>
                </c:pt>
                <c:pt idx="4">
                  <c:v>2013</c:v>
                </c:pt>
                <c:pt idx="5">
                  <c:v>2014</c:v>
                </c:pt>
                <c:pt idx="6">
                  <c:v>2015</c:v>
                </c:pt>
                <c:pt idx="7">
                  <c:v>2016</c:v>
                </c:pt>
                <c:pt idx="8">
                  <c:v>2017</c:v>
                </c:pt>
                <c:pt idx="9">
                  <c:v>2018 Est.</c:v>
                </c:pt>
              </c:strCache>
            </c:strRef>
          </c:cat>
          <c:val>
            <c:numRef>
              <c:f>'Canada Production'!$K$21:$K$30</c:f>
              <c:numCache>
                <c:formatCode>#,##0</c:formatCode>
                <c:ptCount val="10"/>
                <c:pt idx="0">
                  <c:v>1789619</c:v>
                </c:pt>
                <c:pt idx="1">
                  <c:v>1562856</c:v>
                </c:pt>
                <c:pt idx="2">
                  <c:v>1910826</c:v>
                </c:pt>
                <c:pt idx="3">
                  <c:v>2953781</c:v>
                </c:pt>
                <c:pt idx="4">
                  <c:v>2766287</c:v>
                </c:pt>
                <c:pt idx="5">
                  <c:v>3373010.3</c:v>
                </c:pt>
                <c:pt idx="6">
                  <c:v>3272000</c:v>
                </c:pt>
                <c:pt idx="7">
                  <c:v>3958937</c:v>
                </c:pt>
                <c:pt idx="8">
                  <c:v>2652671</c:v>
                </c:pt>
                <c:pt idx="9">
                  <c:v>3480000</c:v>
                </c:pt>
              </c:numCache>
            </c:numRef>
          </c:val>
          <c:extLst xmlns:c16r2="http://schemas.microsoft.com/office/drawing/2015/06/chart">
            <c:ext xmlns:c16="http://schemas.microsoft.com/office/drawing/2014/chart" uri="{C3380CC4-5D6E-409C-BE32-E72D297353CC}">
              <c16:uniqueId val="{00000003-CD47-4F2F-A5C3-EDC749C7EB24}"/>
            </c:ext>
          </c:extLst>
        </c:ser>
        <c:ser>
          <c:idx val="1"/>
          <c:order val="4"/>
          <c:tx>
            <c:strRef>
              <c:f>'Canada Production'!$L$2:$N$2</c:f>
              <c:strCache>
                <c:ptCount val="1"/>
                <c:pt idx="0">
                  <c:v>Chile</c:v>
                </c:pt>
              </c:strCache>
            </c:strRef>
          </c:tx>
          <c:spPr>
            <a:ln w="50800">
              <a:solidFill>
                <a:srgbClr val="FF0000"/>
              </a:solidFill>
            </a:ln>
          </c:spPr>
          <c:marker>
            <c:symbol val="none"/>
          </c:marker>
          <c:cat>
            <c:strRef>
              <c:f>'Canada Production'!$A$21:$A$30</c:f>
              <c:strCache>
                <c:ptCount val="10"/>
                <c:pt idx="0">
                  <c:v>2009</c:v>
                </c:pt>
                <c:pt idx="1">
                  <c:v>2010</c:v>
                </c:pt>
                <c:pt idx="2">
                  <c:v>2011</c:v>
                </c:pt>
                <c:pt idx="3">
                  <c:v>2012</c:v>
                </c:pt>
                <c:pt idx="4">
                  <c:v>2013</c:v>
                </c:pt>
                <c:pt idx="5">
                  <c:v>2014</c:v>
                </c:pt>
                <c:pt idx="6">
                  <c:v>2015</c:v>
                </c:pt>
                <c:pt idx="7">
                  <c:v>2016</c:v>
                </c:pt>
                <c:pt idx="8">
                  <c:v>2017</c:v>
                </c:pt>
                <c:pt idx="9">
                  <c:v>2018 Est.</c:v>
                </c:pt>
              </c:strCache>
            </c:strRef>
          </c:cat>
          <c:val>
            <c:numRef>
              <c:f>'Canada Production'!$M$21:$M$30</c:f>
              <c:numCache>
                <c:formatCode>_(* #,##0_);_(* \(#,##0\);_(* "-"??_);_(@_)</c:formatCode>
                <c:ptCount val="10"/>
                <c:pt idx="0">
                  <c:v>300000</c:v>
                </c:pt>
                <c:pt idx="1">
                  <c:v>219286</c:v>
                </c:pt>
                <c:pt idx="2">
                  <c:v>354022</c:v>
                </c:pt>
                <c:pt idx="3">
                  <c:v>354800</c:v>
                </c:pt>
                <c:pt idx="4">
                  <c:v>465000</c:v>
                </c:pt>
                <c:pt idx="5">
                  <c:v>408000</c:v>
                </c:pt>
                <c:pt idx="6">
                  <c:v>432000</c:v>
                </c:pt>
                <c:pt idx="7">
                  <c:v>488000</c:v>
                </c:pt>
                <c:pt idx="8">
                  <c:v>480000</c:v>
                </c:pt>
                <c:pt idx="9">
                  <c:v>440000</c:v>
                </c:pt>
              </c:numCache>
            </c:numRef>
          </c:val>
          <c:extLst xmlns:c16r2="http://schemas.microsoft.com/office/drawing/2015/06/chart">
            <c:ext xmlns:c16="http://schemas.microsoft.com/office/drawing/2014/chart" uri="{C3380CC4-5D6E-409C-BE32-E72D297353CC}">
              <c16:uniqueId val="{00000004-CD47-4F2F-A5C3-EDC749C7EB24}"/>
            </c:ext>
          </c:extLst>
        </c:ser>
        <c:ser>
          <c:idx val="2"/>
          <c:order val="5"/>
          <c:tx>
            <c:strRef>
              <c:f>'Canada Production'!$O$2</c:f>
              <c:strCache>
                <c:ptCount val="1"/>
                <c:pt idx="0">
                  <c:v>Total Non US</c:v>
                </c:pt>
              </c:strCache>
            </c:strRef>
          </c:tx>
          <c:spPr>
            <a:ln w="50800">
              <a:solidFill>
                <a:schemeClr val="tx1">
                  <a:lumMod val="95000"/>
                  <a:lumOff val="5000"/>
                </a:schemeClr>
              </a:solidFill>
            </a:ln>
          </c:spPr>
          <c:marker>
            <c:symbol val="none"/>
          </c:marker>
          <c:cat>
            <c:strRef>
              <c:f>'Canada Production'!$A$21:$A$30</c:f>
              <c:strCache>
                <c:ptCount val="10"/>
                <c:pt idx="0">
                  <c:v>2009</c:v>
                </c:pt>
                <c:pt idx="1">
                  <c:v>2010</c:v>
                </c:pt>
                <c:pt idx="2">
                  <c:v>2011</c:v>
                </c:pt>
                <c:pt idx="3">
                  <c:v>2012</c:v>
                </c:pt>
                <c:pt idx="4">
                  <c:v>2013</c:v>
                </c:pt>
                <c:pt idx="5">
                  <c:v>2014</c:v>
                </c:pt>
                <c:pt idx="6">
                  <c:v>2015</c:v>
                </c:pt>
                <c:pt idx="7">
                  <c:v>2016</c:v>
                </c:pt>
                <c:pt idx="8">
                  <c:v>2017</c:v>
                </c:pt>
                <c:pt idx="9">
                  <c:v>2018 Est.</c:v>
                </c:pt>
              </c:strCache>
            </c:strRef>
          </c:cat>
          <c:val>
            <c:numRef>
              <c:f>'Canada Production'!$O$21:$O$30</c:f>
              <c:numCache>
                <c:formatCode>#,##0</c:formatCode>
                <c:ptCount val="10"/>
                <c:pt idx="0">
                  <c:v>2089619</c:v>
                </c:pt>
                <c:pt idx="1">
                  <c:v>1782142</c:v>
                </c:pt>
                <c:pt idx="2">
                  <c:v>2264848</c:v>
                </c:pt>
                <c:pt idx="3">
                  <c:v>3308581</c:v>
                </c:pt>
                <c:pt idx="4">
                  <c:v>3231287</c:v>
                </c:pt>
                <c:pt idx="5">
                  <c:v>3781010.3</c:v>
                </c:pt>
                <c:pt idx="6">
                  <c:v>3704000</c:v>
                </c:pt>
                <c:pt idx="7">
                  <c:v>4446937</c:v>
                </c:pt>
                <c:pt idx="8">
                  <c:v>3132671</c:v>
                </c:pt>
                <c:pt idx="9">
                  <c:v>3920000</c:v>
                </c:pt>
              </c:numCache>
            </c:numRef>
          </c:val>
          <c:extLst xmlns:c16r2="http://schemas.microsoft.com/office/drawing/2015/06/chart">
            <c:ext xmlns:c16="http://schemas.microsoft.com/office/drawing/2014/chart" uri="{C3380CC4-5D6E-409C-BE32-E72D297353CC}">
              <c16:uniqueId val="{00000005-CD47-4F2F-A5C3-EDC749C7EB24}"/>
            </c:ext>
          </c:extLst>
        </c:ser>
        <c:dLbls/>
        <c:marker val="1"/>
        <c:axId val="78444416"/>
        <c:axId val="78445952"/>
      </c:lineChart>
      <c:catAx>
        <c:axId val="78444416"/>
        <c:scaling>
          <c:orientation val="minMax"/>
        </c:scaling>
        <c:axPos val="b"/>
        <c:numFmt formatCode="General" sourceLinked="1"/>
        <c:tickLblPos val="nextTo"/>
        <c:txPr>
          <a:bodyPr rot="0" vert="horz"/>
          <a:lstStyle/>
          <a:p>
            <a:pPr>
              <a:defRPr sz="1600" b="1" i="0" u="none" strike="noStrike" baseline="0">
                <a:solidFill>
                  <a:srgbClr val="000000"/>
                </a:solidFill>
                <a:latin typeface="Calibri"/>
                <a:ea typeface="Calibri"/>
                <a:cs typeface="Calibri"/>
              </a:defRPr>
            </a:pPr>
            <a:endParaRPr lang="en-US"/>
          </a:p>
        </c:txPr>
        <c:crossAx val="78445952"/>
        <c:crosses val="autoZero"/>
        <c:auto val="1"/>
        <c:lblAlgn val="ctr"/>
        <c:lblOffset val="100"/>
        <c:tickLblSkip val="1"/>
      </c:catAx>
      <c:valAx>
        <c:axId val="78445952"/>
        <c:scaling>
          <c:orientation val="minMax"/>
        </c:scaling>
        <c:axPos val="l"/>
        <c:majorGridlines/>
        <c:title>
          <c:tx>
            <c:rich>
              <a:bodyPr/>
              <a:lstStyle/>
              <a:p>
                <a:pPr>
                  <a:defRPr sz="1600" b="1" i="0" u="none" strike="noStrike" baseline="0">
                    <a:solidFill>
                      <a:srgbClr val="000000"/>
                    </a:solidFill>
                    <a:latin typeface="Calibri"/>
                    <a:ea typeface="Calibri"/>
                    <a:cs typeface="Calibri"/>
                  </a:defRPr>
                </a:pPr>
                <a:r>
                  <a:rPr lang="en-US"/>
                  <a:t>Millions of Barrels</a:t>
                </a:r>
              </a:p>
            </c:rich>
          </c:tx>
        </c:title>
        <c:numFmt formatCode="_(* #,##0_);_(* \(#,##0\);_(* &quot;-&quot;??_);_(@_)" sourceLinked="1"/>
        <c:tickLblPos val="nextTo"/>
        <c:txPr>
          <a:bodyPr rot="0" vert="horz"/>
          <a:lstStyle/>
          <a:p>
            <a:pPr>
              <a:defRPr sz="1600" b="1" i="0" u="none" strike="noStrike" baseline="0">
                <a:solidFill>
                  <a:srgbClr val="000000"/>
                </a:solidFill>
                <a:latin typeface="Calibri"/>
                <a:ea typeface="Calibri"/>
                <a:cs typeface="Calibri"/>
              </a:defRPr>
            </a:pPr>
            <a:endParaRPr lang="en-US"/>
          </a:p>
        </c:txPr>
        <c:crossAx val="78444416"/>
        <c:crosses val="autoZero"/>
        <c:crossBetween val="between"/>
        <c:majorUnit val="1000000"/>
        <c:dispUnits>
          <c:builtInUnit val="millions"/>
        </c:dispUnits>
      </c:valAx>
    </c:plotArea>
    <c:legend>
      <c:legendPos val="b"/>
      <c:layout>
        <c:manualLayout>
          <c:xMode val="edge"/>
          <c:yMode val="edge"/>
          <c:x val="0.18285295196186291"/>
          <c:y val="0.90280617195577828"/>
          <c:w val="0.64015245619050465"/>
          <c:h val="9.3158355205599994E-2"/>
        </c:manualLayout>
      </c:layout>
      <c:txPr>
        <a:bodyPr/>
        <a:lstStyle/>
        <a:p>
          <a:pPr>
            <a:defRPr sz="1350" b="1" i="0" u="none" strike="noStrike" baseline="0">
              <a:solidFill>
                <a:srgbClr val="000000"/>
              </a:solidFill>
              <a:latin typeface="Calibri"/>
              <a:ea typeface="Calibri"/>
              <a:cs typeface="Calibri"/>
            </a:defRPr>
          </a:pPr>
          <a:endParaRPr lang="en-U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2400" b="1" i="0" u="none" strike="noStrike" baseline="0">
                <a:solidFill>
                  <a:srgbClr val="000000"/>
                </a:solidFill>
                <a:latin typeface="Calibri"/>
                <a:ea typeface="Calibri"/>
                <a:cs typeface="Calibri"/>
              </a:defRPr>
            </a:pPr>
            <a:r>
              <a:rPr lang="en-US"/>
              <a:t>Number of Barrels Purchased by USDA</a:t>
            </a:r>
          </a:p>
        </c:rich>
      </c:tx>
    </c:title>
    <c:plotArea>
      <c:layout>
        <c:manualLayout>
          <c:layoutTarget val="inner"/>
          <c:xMode val="edge"/>
          <c:yMode val="edge"/>
          <c:x val="0.1086751403438372"/>
          <c:y val="0.10706230577110114"/>
          <c:w val="0.87521472491685459"/>
          <c:h val="0.78561975303934461"/>
        </c:manualLayout>
      </c:layout>
      <c:barChart>
        <c:barDir val="col"/>
        <c:grouping val="clustered"/>
        <c:ser>
          <c:idx val="0"/>
          <c:order val="0"/>
          <c:tx>
            <c:strRef>
              <c:f>'Cycle Report'!$A$320</c:f>
              <c:strCache>
                <c:ptCount val="1"/>
                <c:pt idx="0">
                  <c:v>Sold to the Government</c:v>
                </c:pt>
              </c:strCache>
            </c:strRef>
          </c:tx>
          <c:cat>
            <c:strRef>
              <c:f>Sales!$A$23:$A$34</c:f>
              <c:strCache>
                <c:ptCount val="12"/>
                <c:pt idx="0">
                  <c:v>2006</c:v>
                </c:pt>
                <c:pt idx="1">
                  <c:v>2007</c:v>
                </c:pt>
                <c:pt idx="2">
                  <c:v>2008</c:v>
                </c:pt>
                <c:pt idx="3">
                  <c:v>2009</c:v>
                </c:pt>
                <c:pt idx="4">
                  <c:v>2010</c:v>
                </c:pt>
                <c:pt idx="5">
                  <c:v>2011</c:v>
                </c:pt>
                <c:pt idx="6">
                  <c:v>2012</c:v>
                </c:pt>
                <c:pt idx="7">
                  <c:v>2013</c:v>
                </c:pt>
                <c:pt idx="8">
                  <c:v>2014</c:v>
                </c:pt>
                <c:pt idx="9">
                  <c:v>2015</c:v>
                </c:pt>
                <c:pt idx="10">
                  <c:v>2016</c:v>
                </c:pt>
                <c:pt idx="11">
                  <c:v>2017 Est.</c:v>
                </c:pt>
              </c:strCache>
            </c:strRef>
          </c:cat>
          <c:val>
            <c:numRef>
              <c:f>'Cycle Report'!$B$320:$M$320</c:f>
              <c:numCache>
                <c:formatCode>#,##0</c:formatCode>
                <c:ptCount val="12"/>
                <c:pt idx="0">
                  <c:v>46138</c:v>
                </c:pt>
                <c:pt idx="1">
                  <c:v>50015</c:v>
                </c:pt>
                <c:pt idx="2">
                  <c:v>46594</c:v>
                </c:pt>
                <c:pt idx="3">
                  <c:v>43387</c:v>
                </c:pt>
                <c:pt idx="4">
                  <c:v>42391</c:v>
                </c:pt>
                <c:pt idx="5">
                  <c:v>40034</c:v>
                </c:pt>
                <c:pt idx="6">
                  <c:v>51270</c:v>
                </c:pt>
                <c:pt idx="7">
                  <c:v>257528</c:v>
                </c:pt>
                <c:pt idx="8" formatCode="_(* #,##0_);_(* \(#,##0\);_(* &quot;-&quot;??_);_(@_)">
                  <c:v>432967</c:v>
                </c:pt>
                <c:pt idx="9" formatCode="_(* #,##0_);_(* \(#,##0\);_(* &quot;-&quot;??_);_(@_)">
                  <c:v>431573</c:v>
                </c:pt>
                <c:pt idx="10" formatCode="_(* #,##0_);_(* \(#,##0\);_(* &quot;-&quot;??_);_(@_)">
                  <c:v>428481</c:v>
                </c:pt>
                <c:pt idx="11" formatCode="_(* #,##0_);_(* \(#,##0\);_(* &quot;-&quot;??_);_(@_)">
                  <c:v>123526</c:v>
                </c:pt>
              </c:numCache>
            </c:numRef>
          </c:val>
          <c:extLst xmlns:c16r2="http://schemas.microsoft.com/office/drawing/2015/06/chart">
            <c:ext xmlns:c16="http://schemas.microsoft.com/office/drawing/2014/chart" uri="{C3380CC4-5D6E-409C-BE32-E72D297353CC}">
              <c16:uniqueId val="{00000000-D102-4721-8760-0C18FCB6F794}"/>
            </c:ext>
          </c:extLst>
        </c:ser>
        <c:dLbls/>
        <c:axId val="78943360"/>
        <c:axId val="78944896"/>
      </c:barChart>
      <c:catAx>
        <c:axId val="78943360"/>
        <c:scaling>
          <c:orientation val="minMax"/>
        </c:scaling>
        <c:axPos val="b"/>
        <c:numFmt formatCode="General" sourceLinked="1"/>
        <c:tickLblPos val="nextTo"/>
        <c:spPr>
          <a:solidFill>
            <a:schemeClr val="bg1"/>
          </a:solidFill>
        </c:spPr>
        <c:txPr>
          <a:bodyPr rot="0" vert="horz"/>
          <a:lstStyle/>
          <a:p>
            <a:pPr>
              <a:defRPr sz="1600" b="1" i="0" u="none" strike="noStrike" baseline="0">
                <a:solidFill>
                  <a:srgbClr val="000000"/>
                </a:solidFill>
                <a:latin typeface="Calibri"/>
                <a:ea typeface="Calibri"/>
                <a:cs typeface="Calibri"/>
              </a:defRPr>
            </a:pPr>
            <a:endParaRPr lang="en-US"/>
          </a:p>
        </c:txPr>
        <c:crossAx val="78944896"/>
        <c:crosses val="autoZero"/>
        <c:auto val="1"/>
        <c:lblAlgn val="ctr"/>
        <c:lblOffset val="100"/>
        <c:tickLblSkip val="1"/>
      </c:catAx>
      <c:valAx>
        <c:axId val="78944896"/>
        <c:scaling>
          <c:orientation val="minMax"/>
          <c:max val="450000"/>
        </c:scaling>
        <c:axPos val="l"/>
        <c:majorGridlines/>
        <c:title>
          <c:tx>
            <c:rich>
              <a:bodyPr/>
              <a:lstStyle/>
              <a:p>
                <a:pPr>
                  <a:defRPr sz="1600" b="1" i="0" u="none" strike="noStrike" baseline="0">
                    <a:solidFill>
                      <a:srgbClr val="000000"/>
                    </a:solidFill>
                    <a:latin typeface="Calibri"/>
                    <a:ea typeface="Calibri"/>
                    <a:cs typeface="Calibri"/>
                  </a:defRPr>
                </a:pPr>
                <a:r>
                  <a:rPr lang="en-US"/>
                  <a:t>Thousand of Barrels</a:t>
                </a:r>
              </a:p>
            </c:rich>
          </c:tx>
        </c:title>
        <c:numFmt formatCode="#,##0" sourceLinked="1"/>
        <c:tickLblPos val="nextTo"/>
        <c:txPr>
          <a:bodyPr rot="0" vert="horz"/>
          <a:lstStyle/>
          <a:p>
            <a:pPr>
              <a:defRPr sz="1600" b="1" i="0" u="none" strike="noStrike" baseline="0">
                <a:solidFill>
                  <a:srgbClr val="000000"/>
                </a:solidFill>
                <a:latin typeface="Calibri"/>
                <a:ea typeface="Calibri"/>
                <a:cs typeface="Calibri"/>
              </a:defRPr>
            </a:pPr>
            <a:endParaRPr lang="en-US"/>
          </a:p>
        </c:txPr>
        <c:crossAx val="78943360"/>
        <c:crosses val="autoZero"/>
        <c:crossBetween val="between"/>
        <c:dispUnits>
          <c:builtInUnit val="thousands"/>
        </c:dispUnits>
      </c:valAx>
    </c:plotArea>
    <c:plotVisOnly val="1"/>
    <c:dispBlanksAs val="gap"/>
  </c:chart>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2400" b="1" i="0" u="none" strike="noStrike" baseline="0">
                <a:solidFill>
                  <a:srgbClr val="000000"/>
                </a:solidFill>
                <a:latin typeface="Calibri"/>
                <a:ea typeface="Calibri"/>
                <a:cs typeface="Calibri"/>
              </a:defRPr>
            </a:pPr>
            <a:r>
              <a:rPr lang="en-US"/>
              <a:t>Fresh Cranberry Sales</a:t>
            </a:r>
          </a:p>
        </c:rich>
      </c:tx>
    </c:title>
    <c:plotArea>
      <c:layout/>
      <c:lineChart>
        <c:grouping val="standard"/>
        <c:ser>
          <c:idx val="0"/>
          <c:order val="0"/>
          <c:tx>
            <c:strRef>
              <c:f>Sales!$G$3</c:f>
              <c:strCache>
                <c:ptCount val="1"/>
                <c:pt idx="0">
                  <c:v>Total Fresh Sales</c:v>
                </c:pt>
              </c:strCache>
            </c:strRef>
          </c:tx>
          <c:spPr>
            <a:ln w="50800">
              <a:solidFill>
                <a:schemeClr val="accent3"/>
              </a:solidFill>
            </a:ln>
          </c:spPr>
          <c:marker>
            <c:symbol val="none"/>
          </c:marker>
          <c:cat>
            <c:strRef>
              <c:f>Sales!$A$5:$A$34</c:f>
              <c:strCache>
                <c:ptCount val="30"/>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 Est.</c:v>
                </c:pt>
              </c:strCache>
            </c:strRef>
          </c:cat>
          <c:val>
            <c:numRef>
              <c:f>Sales!$G$5:$G$34</c:f>
              <c:numCache>
                <c:formatCode>#,##0</c:formatCode>
                <c:ptCount val="30"/>
                <c:pt idx="0">
                  <c:v>384193</c:v>
                </c:pt>
                <c:pt idx="1">
                  <c:v>357840</c:v>
                </c:pt>
                <c:pt idx="2">
                  <c:v>269657</c:v>
                </c:pt>
                <c:pt idx="3">
                  <c:v>240295</c:v>
                </c:pt>
                <c:pt idx="4">
                  <c:v>238847</c:v>
                </c:pt>
                <c:pt idx="5">
                  <c:v>229216</c:v>
                </c:pt>
                <c:pt idx="6">
                  <c:v>249324</c:v>
                </c:pt>
                <c:pt idx="7">
                  <c:v>239115</c:v>
                </c:pt>
                <c:pt idx="8">
                  <c:v>233268</c:v>
                </c:pt>
                <c:pt idx="9">
                  <c:v>227652</c:v>
                </c:pt>
                <c:pt idx="10">
                  <c:v>230882</c:v>
                </c:pt>
                <c:pt idx="11">
                  <c:v>254061</c:v>
                </c:pt>
                <c:pt idx="12">
                  <c:v>300342</c:v>
                </c:pt>
                <c:pt idx="13">
                  <c:v>267661</c:v>
                </c:pt>
                <c:pt idx="14">
                  <c:v>299702</c:v>
                </c:pt>
                <c:pt idx="15">
                  <c:v>251893</c:v>
                </c:pt>
                <c:pt idx="16">
                  <c:v>298766</c:v>
                </c:pt>
                <c:pt idx="17">
                  <c:v>302390</c:v>
                </c:pt>
                <c:pt idx="18">
                  <c:v>334986</c:v>
                </c:pt>
                <c:pt idx="19">
                  <c:v>346486</c:v>
                </c:pt>
                <c:pt idx="20">
                  <c:v>301007</c:v>
                </c:pt>
                <c:pt idx="21">
                  <c:v>291886</c:v>
                </c:pt>
                <c:pt idx="22">
                  <c:v>305279</c:v>
                </c:pt>
                <c:pt idx="23">
                  <c:v>317827</c:v>
                </c:pt>
                <c:pt idx="24">
                  <c:v>321639</c:v>
                </c:pt>
                <c:pt idx="25">
                  <c:v>323964</c:v>
                </c:pt>
                <c:pt idx="26">
                  <c:v>314719</c:v>
                </c:pt>
                <c:pt idx="27">
                  <c:v>318135</c:v>
                </c:pt>
                <c:pt idx="28">
                  <c:v>332518</c:v>
                </c:pt>
                <c:pt idx="29">
                  <c:v>329945</c:v>
                </c:pt>
              </c:numCache>
            </c:numRef>
          </c:val>
          <c:extLst xmlns:c16r2="http://schemas.microsoft.com/office/drawing/2015/06/chart">
            <c:ext xmlns:c16="http://schemas.microsoft.com/office/drawing/2014/chart" uri="{C3380CC4-5D6E-409C-BE32-E72D297353CC}">
              <c16:uniqueId val="{00000000-7038-4605-8ED3-1DBE353A54F1}"/>
            </c:ext>
          </c:extLst>
        </c:ser>
        <c:ser>
          <c:idx val="1"/>
          <c:order val="1"/>
          <c:tx>
            <c:strRef>
              <c:f>Sales!$B$3</c:f>
              <c:strCache>
                <c:ptCount val="1"/>
                <c:pt idx="0">
                  <c:v>Fresh Domestic Sales</c:v>
                </c:pt>
              </c:strCache>
            </c:strRef>
          </c:tx>
          <c:spPr>
            <a:ln w="50800"/>
          </c:spPr>
          <c:marker>
            <c:symbol val="none"/>
          </c:marker>
          <c:cat>
            <c:strRef>
              <c:f>Sales!$A$5:$A$34</c:f>
              <c:strCache>
                <c:ptCount val="30"/>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 Est.</c:v>
                </c:pt>
              </c:strCache>
            </c:strRef>
          </c:cat>
          <c:val>
            <c:numRef>
              <c:f>Sales!$B$5:$B$34</c:f>
              <c:numCache>
                <c:formatCode>#,##0</c:formatCode>
                <c:ptCount val="30"/>
                <c:pt idx="0">
                  <c:v>253597</c:v>
                </c:pt>
                <c:pt idx="1">
                  <c:v>234210</c:v>
                </c:pt>
                <c:pt idx="2">
                  <c:v>164998</c:v>
                </c:pt>
                <c:pt idx="3">
                  <c:v>173861</c:v>
                </c:pt>
                <c:pt idx="4">
                  <c:v>204648</c:v>
                </c:pt>
                <c:pt idx="5">
                  <c:v>210090</c:v>
                </c:pt>
                <c:pt idx="6">
                  <c:v>230850</c:v>
                </c:pt>
                <c:pt idx="7">
                  <c:v>216558</c:v>
                </c:pt>
                <c:pt idx="8">
                  <c:v>213542</c:v>
                </c:pt>
                <c:pt idx="9">
                  <c:v>201650</c:v>
                </c:pt>
                <c:pt idx="10">
                  <c:v>202114</c:v>
                </c:pt>
                <c:pt idx="11">
                  <c:v>214128</c:v>
                </c:pt>
                <c:pt idx="12">
                  <c:v>260249</c:v>
                </c:pt>
                <c:pt idx="13">
                  <c:v>236249</c:v>
                </c:pt>
                <c:pt idx="14">
                  <c:v>251789</c:v>
                </c:pt>
                <c:pt idx="15">
                  <c:v>202572</c:v>
                </c:pt>
                <c:pt idx="16">
                  <c:v>249318</c:v>
                </c:pt>
                <c:pt idx="17">
                  <c:v>238995</c:v>
                </c:pt>
                <c:pt idx="18">
                  <c:v>259746</c:v>
                </c:pt>
                <c:pt idx="19">
                  <c:v>291587</c:v>
                </c:pt>
                <c:pt idx="20">
                  <c:v>252694</c:v>
                </c:pt>
                <c:pt idx="21">
                  <c:v>241219</c:v>
                </c:pt>
                <c:pt idx="22">
                  <c:v>257012</c:v>
                </c:pt>
                <c:pt idx="23">
                  <c:v>258980</c:v>
                </c:pt>
                <c:pt idx="24">
                  <c:v>265364</c:v>
                </c:pt>
                <c:pt idx="25">
                  <c:v>270383</c:v>
                </c:pt>
                <c:pt idx="26">
                  <c:v>258767</c:v>
                </c:pt>
                <c:pt idx="27">
                  <c:v>270229</c:v>
                </c:pt>
                <c:pt idx="28">
                  <c:v>288697</c:v>
                </c:pt>
                <c:pt idx="29">
                  <c:v>284672</c:v>
                </c:pt>
              </c:numCache>
            </c:numRef>
          </c:val>
          <c:extLst xmlns:c16r2="http://schemas.microsoft.com/office/drawing/2015/06/chart">
            <c:ext xmlns:c16="http://schemas.microsoft.com/office/drawing/2014/chart" uri="{C3380CC4-5D6E-409C-BE32-E72D297353CC}">
              <c16:uniqueId val="{00000001-7038-4605-8ED3-1DBE353A54F1}"/>
            </c:ext>
          </c:extLst>
        </c:ser>
        <c:ser>
          <c:idx val="2"/>
          <c:order val="2"/>
          <c:tx>
            <c:strRef>
              <c:f>Sales!$C$3</c:f>
              <c:strCache>
                <c:ptCount val="1"/>
                <c:pt idx="0">
                  <c:v>Fresh Export Sales</c:v>
                </c:pt>
              </c:strCache>
            </c:strRef>
          </c:tx>
          <c:spPr>
            <a:ln w="50800">
              <a:solidFill>
                <a:srgbClr val="00B0F0"/>
              </a:solidFill>
            </a:ln>
          </c:spPr>
          <c:marker>
            <c:symbol val="none"/>
          </c:marker>
          <c:cat>
            <c:strRef>
              <c:f>Sales!$A$5:$A$34</c:f>
              <c:strCache>
                <c:ptCount val="30"/>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 Est.</c:v>
                </c:pt>
              </c:strCache>
            </c:strRef>
          </c:cat>
          <c:val>
            <c:numRef>
              <c:f>Sales!$C$5:$C$34</c:f>
              <c:numCache>
                <c:formatCode>#,##0</c:formatCode>
                <c:ptCount val="30"/>
                <c:pt idx="0">
                  <c:v>130596</c:v>
                </c:pt>
                <c:pt idx="1">
                  <c:v>123630</c:v>
                </c:pt>
                <c:pt idx="2">
                  <c:v>104659</c:v>
                </c:pt>
                <c:pt idx="3">
                  <c:v>66434</c:v>
                </c:pt>
                <c:pt idx="4">
                  <c:v>34199</c:v>
                </c:pt>
                <c:pt idx="5">
                  <c:v>19126</c:v>
                </c:pt>
                <c:pt idx="6">
                  <c:v>18474</c:v>
                </c:pt>
                <c:pt idx="7">
                  <c:v>22557</c:v>
                </c:pt>
                <c:pt idx="8">
                  <c:v>19726</c:v>
                </c:pt>
                <c:pt idx="9">
                  <c:v>26002</c:v>
                </c:pt>
                <c:pt idx="10">
                  <c:v>28768</c:v>
                </c:pt>
                <c:pt idx="11">
                  <c:v>39933</c:v>
                </c:pt>
                <c:pt idx="12">
                  <c:v>40093</c:v>
                </c:pt>
                <c:pt idx="13">
                  <c:v>31412</c:v>
                </c:pt>
                <c:pt idx="14">
                  <c:v>47913</c:v>
                </c:pt>
                <c:pt idx="15">
                  <c:v>49321</c:v>
                </c:pt>
                <c:pt idx="16">
                  <c:v>49448</c:v>
                </c:pt>
                <c:pt idx="17">
                  <c:v>63395</c:v>
                </c:pt>
                <c:pt idx="18">
                  <c:v>75240</c:v>
                </c:pt>
                <c:pt idx="19">
                  <c:v>54899</c:v>
                </c:pt>
                <c:pt idx="20">
                  <c:v>48313</c:v>
                </c:pt>
                <c:pt idx="21">
                  <c:v>50667</c:v>
                </c:pt>
                <c:pt idx="22">
                  <c:v>48267</c:v>
                </c:pt>
                <c:pt idx="23">
                  <c:v>58847</c:v>
                </c:pt>
                <c:pt idx="24">
                  <c:v>56275</c:v>
                </c:pt>
                <c:pt idx="25">
                  <c:v>53581</c:v>
                </c:pt>
                <c:pt idx="26">
                  <c:v>55952</c:v>
                </c:pt>
                <c:pt idx="27">
                  <c:v>47906</c:v>
                </c:pt>
                <c:pt idx="28">
                  <c:v>43821</c:v>
                </c:pt>
                <c:pt idx="29">
                  <c:v>45273</c:v>
                </c:pt>
              </c:numCache>
            </c:numRef>
          </c:val>
          <c:extLst xmlns:c16r2="http://schemas.microsoft.com/office/drawing/2015/06/chart">
            <c:ext xmlns:c16="http://schemas.microsoft.com/office/drawing/2014/chart" uri="{C3380CC4-5D6E-409C-BE32-E72D297353CC}">
              <c16:uniqueId val="{00000002-7038-4605-8ED3-1DBE353A54F1}"/>
            </c:ext>
          </c:extLst>
        </c:ser>
        <c:dLbls/>
        <c:marker val="1"/>
        <c:axId val="196477312"/>
        <c:axId val="196478848"/>
      </c:lineChart>
      <c:catAx>
        <c:axId val="196477312"/>
        <c:scaling>
          <c:orientation val="minMax"/>
        </c:scaling>
        <c:axPos val="b"/>
        <c:numFmt formatCode="General" sourceLinked="1"/>
        <c:tickLblPos val="nextTo"/>
        <c:txPr>
          <a:bodyPr rot="0" vert="horz"/>
          <a:lstStyle/>
          <a:p>
            <a:pPr>
              <a:defRPr sz="1600" b="1" i="0" u="none" strike="noStrike" baseline="0">
                <a:solidFill>
                  <a:srgbClr val="000000"/>
                </a:solidFill>
                <a:latin typeface="Calibri"/>
                <a:ea typeface="Calibri"/>
                <a:cs typeface="Calibri"/>
              </a:defRPr>
            </a:pPr>
            <a:endParaRPr lang="en-US"/>
          </a:p>
        </c:txPr>
        <c:crossAx val="196478848"/>
        <c:crosses val="autoZero"/>
        <c:auto val="1"/>
        <c:lblAlgn val="ctr"/>
        <c:lblOffset val="100"/>
        <c:tickLblSkip val="4"/>
      </c:catAx>
      <c:valAx>
        <c:axId val="196478848"/>
        <c:scaling>
          <c:orientation val="minMax"/>
          <c:max val="400000"/>
        </c:scaling>
        <c:axPos val="l"/>
        <c:majorGridlines/>
        <c:title>
          <c:tx>
            <c:rich>
              <a:bodyPr/>
              <a:lstStyle/>
              <a:p>
                <a:pPr>
                  <a:defRPr sz="1600" b="1" i="0" u="none" strike="noStrike" baseline="0">
                    <a:solidFill>
                      <a:srgbClr val="000000"/>
                    </a:solidFill>
                    <a:latin typeface="Calibri"/>
                    <a:ea typeface="Calibri"/>
                    <a:cs typeface="Calibri"/>
                  </a:defRPr>
                </a:pPr>
                <a:r>
                  <a:rPr lang="en-US"/>
                  <a:t>Barrels</a:t>
                </a:r>
              </a:p>
            </c:rich>
          </c:tx>
        </c:title>
        <c:numFmt formatCode="#,##0" sourceLinked="1"/>
        <c:tickLblPos val="nextTo"/>
        <c:txPr>
          <a:bodyPr rot="0" vert="horz"/>
          <a:lstStyle/>
          <a:p>
            <a:pPr>
              <a:defRPr sz="1600" b="1" i="0" u="none" strike="noStrike" baseline="0">
                <a:solidFill>
                  <a:srgbClr val="000000"/>
                </a:solidFill>
                <a:latin typeface="Calibri"/>
                <a:ea typeface="Calibri"/>
                <a:cs typeface="Calibri"/>
              </a:defRPr>
            </a:pPr>
            <a:endParaRPr lang="en-US"/>
          </a:p>
        </c:txPr>
        <c:crossAx val="196477312"/>
        <c:crosses val="autoZero"/>
        <c:crossBetween val="between"/>
      </c:valAx>
    </c:plotArea>
    <c:legend>
      <c:legendPos val="b"/>
      <c:txPr>
        <a:bodyPr/>
        <a:lstStyle/>
        <a:p>
          <a:pPr>
            <a:defRPr sz="1350" b="1" i="0" u="none" strike="noStrike" baseline="0">
              <a:solidFill>
                <a:srgbClr val="000000"/>
              </a:solidFill>
              <a:latin typeface="Calibri"/>
              <a:ea typeface="Calibri"/>
              <a:cs typeface="Calibri"/>
            </a:defRPr>
          </a:pPr>
          <a:endParaRPr lang="en-U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2400" b="1" i="0" u="none" strike="noStrike" baseline="0">
                <a:solidFill>
                  <a:srgbClr val="000000"/>
                </a:solidFill>
                <a:latin typeface="Calibri"/>
                <a:ea typeface="Calibri"/>
                <a:cs typeface="Calibri"/>
              </a:defRPr>
            </a:pPr>
            <a:r>
              <a:rPr lang="en-US"/>
              <a:t>Processed Cranberry Sales</a:t>
            </a:r>
          </a:p>
        </c:rich>
      </c:tx>
    </c:title>
    <c:plotArea>
      <c:layout/>
      <c:lineChart>
        <c:grouping val="standard"/>
        <c:ser>
          <c:idx val="0"/>
          <c:order val="0"/>
          <c:tx>
            <c:strRef>
              <c:f>Sales!$H$3</c:f>
              <c:strCache>
                <c:ptCount val="1"/>
                <c:pt idx="0">
                  <c:v>Total Processed Sales</c:v>
                </c:pt>
              </c:strCache>
            </c:strRef>
          </c:tx>
          <c:spPr>
            <a:ln w="50800">
              <a:solidFill>
                <a:schemeClr val="accent3"/>
              </a:solidFill>
            </a:ln>
          </c:spPr>
          <c:marker>
            <c:symbol val="none"/>
          </c:marker>
          <c:cat>
            <c:strRef>
              <c:f>Sales!$A$5:$A$34</c:f>
              <c:strCache>
                <c:ptCount val="30"/>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 Est.</c:v>
                </c:pt>
              </c:strCache>
            </c:strRef>
          </c:cat>
          <c:val>
            <c:numRef>
              <c:f>Sales!$H$5:$H$34</c:f>
              <c:numCache>
                <c:formatCode>#,##0</c:formatCode>
                <c:ptCount val="30"/>
                <c:pt idx="0">
                  <c:v>3746861</c:v>
                </c:pt>
                <c:pt idx="1">
                  <c:v>3502235</c:v>
                </c:pt>
                <c:pt idx="2">
                  <c:v>3761673</c:v>
                </c:pt>
                <c:pt idx="3">
                  <c:v>4309330</c:v>
                </c:pt>
                <c:pt idx="4">
                  <c:v>3931451</c:v>
                </c:pt>
                <c:pt idx="5">
                  <c:v>4141761</c:v>
                </c:pt>
                <c:pt idx="6">
                  <c:v>4804261</c:v>
                </c:pt>
                <c:pt idx="7">
                  <c:v>4536311</c:v>
                </c:pt>
                <c:pt idx="8">
                  <c:v>4537969</c:v>
                </c:pt>
                <c:pt idx="9">
                  <c:v>4872016</c:v>
                </c:pt>
                <c:pt idx="10">
                  <c:v>5014496</c:v>
                </c:pt>
                <c:pt idx="11">
                  <c:v>5334148</c:v>
                </c:pt>
                <c:pt idx="12">
                  <c:v>6057184</c:v>
                </c:pt>
                <c:pt idx="13">
                  <c:v>6385505</c:v>
                </c:pt>
                <c:pt idx="14">
                  <c:v>6076647</c:v>
                </c:pt>
                <c:pt idx="15">
                  <c:v>6426775</c:v>
                </c:pt>
                <c:pt idx="16">
                  <c:v>6707048</c:v>
                </c:pt>
                <c:pt idx="17">
                  <c:v>6811015</c:v>
                </c:pt>
                <c:pt idx="18">
                  <c:v>7394286</c:v>
                </c:pt>
                <c:pt idx="19">
                  <c:v>7392722</c:v>
                </c:pt>
                <c:pt idx="20">
                  <c:v>7117982</c:v>
                </c:pt>
                <c:pt idx="21">
                  <c:v>7340684</c:v>
                </c:pt>
                <c:pt idx="22">
                  <c:v>7917640</c:v>
                </c:pt>
                <c:pt idx="23">
                  <c:v>7517270</c:v>
                </c:pt>
                <c:pt idx="24">
                  <c:v>7507715</c:v>
                </c:pt>
                <c:pt idx="25">
                  <c:v>8216478</c:v>
                </c:pt>
                <c:pt idx="26">
                  <c:v>8835818</c:v>
                </c:pt>
                <c:pt idx="27">
                  <c:v>9172452</c:v>
                </c:pt>
                <c:pt idx="28">
                  <c:v>9214405</c:v>
                </c:pt>
                <c:pt idx="29">
                  <c:v>10731182</c:v>
                </c:pt>
              </c:numCache>
            </c:numRef>
          </c:val>
          <c:extLst xmlns:c16r2="http://schemas.microsoft.com/office/drawing/2015/06/chart">
            <c:ext xmlns:c16="http://schemas.microsoft.com/office/drawing/2014/chart" uri="{C3380CC4-5D6E-409C-BE32-E72D297353CC}">
              <c16:uniqueId val="{00000000-16F6-43CF-95BF-1BBEC292BEC2}"/>
            </c:ext>
          </c:extLst>
        </c:ser>
        <c:ser>
          <c:idx val="1"/>
          <c:order val="1"/>
          <c:tx>
            <c:strRef>
              <c:f>Sales!$D$3</c:f>
              <c:strCache>
                <c:ptCount val="1"/>
                <c:pt idx="0">
                  <c:v>Processed Domestic Sales</c:v>
                </c:pt>
              </c:strCache>
            </c:strRef>
          </c:tx>
          <c:spPr>
            <a:ln w="50800"/>
          </c:spPr>
          <c:marker>
            <c:symbol val="none"/>
          </c:marker>
          <c:cat>
            <c:strRef>
              <c:f>Sales!$A$5:$A$34</c:f>
              <c:strCache>
                <c:ptCount val="30"/>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 Est.</c:v>
                </c:pt>
              </c:strCache>
            </c:strRef>
          </c:cat>
          <c:val>
            <c:numRef>
              <c:f>Sales!$D$5:$D$34</c:f>
              <c:numCache>
                <c:formatCode>#,##0</c:formatCode>
                <c:ptCount val="30"/>
                <c:pt idx="0">
                  <c:v>3693561</c:v>
                </c:pt>
                <c:pt idx="1">
                  <c:v>3433799</c:v>
                </c:pt>
                <c:pt idx="2">
                  <c:v>3665882</c:v>
                </c:pt>
                <c:pt idx="3">
                  <c:v>4173095</c:v>
                </c:pt>
                <c:pt idx="4">
                  <c:v>3755315</c:v>
                </c:pt>
                <c:pt idx="5">
                  <c:v>3878172</c:v>
                </c:pt>
                <c:pt idx="6">
                  <c:v>4461657</c:v>
                </c:pt>
                <c:pt idx="7">
                  <c:v>4161843</c:v>
                </c:pt>
                <c:pt idx="8">
                  <c:v>4071969</c:v>
                </c:pt>
                <c:pt idx="9">
                  <c:v>4370025</c:v>
                </c:pt>
                <c:pt idx="10">
                  <c:v>4338015</c:v>
                </c:pt>
                <c:pt idx="11">
                  <c:v>4474297</c:v>
                </c:pt>
                <c:pt idx="12">
                  <c:v>5272813</c:v>
                </c:pt>
                <c:pt idx="13">
                  <c:v>5822142</c:v>
                </c:pt>
                <c:pt idx="14">
                  <c:v>4825187</c:v>
                </c:pt>
                <c:pt idx="15">
                  <c:v>4991500</c:v>
                </c:pt>
                <c:pt idx="16">
                  <c:v>5248884</c:v>
                </c:pt>
                <c:pt idx="17">
                  <c:v>5196723</c:v>
                </c:pt>
                <c:pt idx="18">
                  <c:v>5908463</c:v>
                </c:pt>
                <c:pt idx="19">
                  <c:v>5873657</c:v>
                </c:pt>
                <c:pt idx="20">
                  <c:v>5328003</c:v>
                </c:pt>
                <c:pt idx="21">
                  <c:v>5536541</c:v>
                </c:pt>
                <c:pt idx="22">
                  <c:v>5717010</c:v>
                </c:pt>
                <c:pt idx="23">
                  <c:v>5315314</c:v>
                </c:pt>
                <c:pt idx="24">
                  <c:v>5237404</c:v>
                </c:pt>
                <c:pt idx="25">
                  <c:v>5555710</c:v>
                </c:pt>
                <c:pt idx="26">
                  <c:v>6164931</c:v>
                </c:pt>
                <c:pt idx="27">
                  <c:v>6203247</c:v>
                </c:pt>
                <c:pt idx="28">
                  <c:v>6253105</c:v>
                </c:pt>
                <c:pt idx="29">
                  <c:v>6949769</c:v>
                </c:pt>
              </c:numCache>
            </c:numRef>
          </c:val>
          <c:extLst xmlns:c16r2="http://schemas.microsoft.com/office/drawing/2015/06/chart">
            <c:ext xmlns:c16="http://schemas.microsoft.com/office/drawing/2014/chart" uri="{C3380CC4-5D6E-409C-BE32-E72D297353CC}">
              <c16:uniqueId val="{00000001-16F6-43CF-95BF-1BBEC292BEC2}"/>
            </c:ext>
          </c:extLst>
        </c:ser>
        <c:ser>
          <c:idx val="2"/>
          <c:order val="2"/>
          <c:tx>
            <c:strRef>
              <c:f>Sales!$E$3</c:f>
              <c:strCache>
                <c:ptCount val="1"/>
                <c:pt idx="0">
                  <c:v>Processed Export Sales</c:v>
                </c:pt>
              </c:strCache>
            </c:strRef>
          </c:tx>
          <c:spPr>
            <a:ln w="50800">
              <a:solidFill>
                <a:srgbClr val="00B0F0"/>
              </a:solidFill>
            </a:ln>
          </c:spPr>
          <c:marker>
            <c:symbol val="none"/>
          </c:marker>
          <c:cat>
            <c:strRef>
              <c:f>Sales!$A$5:$A$34</c:f>
              <c:strCache>
                <c:ptCount val="30"/>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 Est.</c:v>
                </c:pt>
              </c:strCache>
            </c:strRef>
          </c:cat>
          <c:val>
            <c:numRef>
              <c:f>Sales!$E$5:$E$34</c:f>
              <c:numCache>
                <c:formatCode>#,##0</c:formatCode>
                <c:ptCount val="30"/>
                <c:pt idx="0">
                  <c:v>53300</c:v>
                </c:pt>
                <c:pt idx="1">
                  <c:v>68436</c:v>
                </c:pt>
                <c:pt idx="2">
                  <c:v>95791</c:v>
                </c:pt>
                <c:pt idx="3">
                  <c:v>136235</c:v>
                </c:pt>
                <c:pt idx="4">
                  <c:v>176136</c:v>
                </c:pt>
                <c:pt idx="5">
                  <c:v>263589</c:v>
                </c:pt>
                <c:pt idx="6">
                  <c:v>342604</c:v>
                </c:pt>
                <c:pt idx="7">
                  <c:v>374468</c:v>
                </c:pt>
                <c:pt idx="8">
                  <c:v>466000</c:v>
                </c:pt>
                <c:pt idx="9">
                  <c:v>501991</c:v>
                </c:pt>
                <c:pt idx="10">
                  <c:v>676481</c:v>
                </c:pt>
                <c:pt idx="11">
                  <c:v>859851</c:v>
                </c:pt>
                <c:pt idx="12">
                  <c:v>784371</c:v>
                </c:pt>
                <c:pt idx="13">
                  <c:v>563363</c:v>
                </c:pt>
                <c:pt idx="14">
                  <c:v>1251460</c:v>
                </c:pt>
                <c:pt idx="15">
                  <c:v>1435275</c:v>
                </c:pt>
                <c:pt idx="16">
                  <c:v>1458164</c:v>
                </c:pt>
                <c:pt idx="17">
                  <c:v>1614292</c:v>
                </c:pt>
                <c:pt idx="18">
                  <c:v>1485823</c:v>
                </c:pt>
                <c:pt idx="19">
                  <c:v>1519065</c:v>
                </c:pt>
                <c:pt idx="20">
                  <c:v>1789979</c:v>
                </c:pt>
                <c:pt idx="21">
                  <c:v>1804143</c:v>
                </c:pt>
                <c:pt idx="22">
                  <c:v>2200630</c:v>
                </c:pt>
                <c:pt idx="23">
                  <c:v>2201956</c:v>
                </c:pt>
                <c:pt idx="24">
                  <c:v>2270311</c:v>
                </c:pt>
                <c:pt idx="25">
                  <c:v>2660768</c:v>
                </c:pt>
                <c:pt idx="26">
                  <c:v>2670887</c:v>
                </c:pt>
                <c:pt idx="27">
                  <c:v>2969205</c:v>
                </c:pt>
                <c:pt idx="28">
                  <c:v>2961300</c:v>
                </c:pt>
                <c:pt idx="29">
                  <c:v>3781413</c:v>
                </c:pt>
              </c:numCache>
            </c:numRef>
          </c:val>
          <c:extLst xmlns:c16r2="http://schemas.microsoft.com/office/drawing/2015/06/chart">
            <c:ext xmlns:c16="http://schemas.microsoft.com/office/drawing/2014/chart" uri="{C3380CC4-5D6E-409C-BE32-E72D297353CC}">
              <c16:uniqueId val="{00000002-16F6-43CF-95BF-1BBEC292BEC2}"/>
            </c:ext>
          </c:extLst>
        </c:ser>
        <c:dLbls/>
        <c:marker val="1"/>
        <c:axId val="200030464"/>
        <c:axId val="200056832"/>
      </c:lineChart>
      <c:catAx>
        <c:axId val="200030464"/>
        <c:scaling>
          <c:orientation val="minMax"/>
        </c:scaling>
        <c:axPos val="b"/>
        <c:numFmt formatCode="General" sourceLinked="1"/>
        <c:tickLblPos val="nextTo"/>
        <c:txPr>
          <a:bodyPr rot="0" vert="horz"/>
          <a:lstStyle/>
          <a:p>
            <a:pPr>
              <a:defRPr sz="1600" b="1" i="0" u="none" strike="noStrike" baseline="0">
                <a:solidFill>
                  <a:srgbClr val="000000"/>
                </a:solidFill>
                <a:latin typeface="Calibri"/>
                <a:ea typeface="Calibri"/>
                <a:cs typeface="Calibri"/>
              </a:defRPr>
            </a:pPr>
            <a:endParaRPr lang="en-US"/>
          </a:p>
        </c:txPr>
        <c:crossAx val="200056832"/>
        <c:crosses val="autoZero"/>
        <c:auto val="1"/>
        <c:lblAlgn val="ctr"/>
        <c:lblOffset val="100"/>
        <c:tickLblSkip val="4"/>
      </c:catAx>
      <c:valAx>
        <c:axId val="200056832"/>
        <c:scaling>
          <c:orientation val="minMax"/>
          <c:max val="10000000"/>
        </c:scaling>
        <c:axPos val="l"/>
        <c:majorGridlines/>
        <c:title>
          <c:tx>
            <c:rich>
              <a:bodyPr/>
              <a:lstStyle/>
              <a:p>
                <a:pPr>
                  <a:defRPr sz="1600" b="1" i="0" u="none" strike="noStrike" baseline="0">
                    <a:solidFill>
                      <a:srgbClr val="000000"/>
                    </a:solidFill>
                    <a:latin typeface="Calibri"/>
                    <a:ea typeface="Calibri"/>
                    <a:cs typeface="Calibri"/>
                  </a:defRPr>
                </a:pPr>
                <a:r>
                  <a:rPr lang="en-US"/>
                  <a:t>Millions of Barrels</a:t>
                </a:r>
              </a:p>
            </c:rich>
          </c:tx>
        </c:title>
        <c:numFmt formatCode="#,##0" sourceLinked="1"/>
        <c:tickLblPos val="nextTo"/>
        <c:txPr>
          <a:bodyPr rot="0" vert="horz"/>
          <a:lstStyle/>
          <a:p>
            <a:pPr>
              <a:defRPr sz="1600" b="1" i="0" u="none" strike="noStrike" baseline="0">
                <a:solidFill>
                  <a:srgbClr val="000000"/>
                </a:solidFill>
                <a:latin typeface="Calibri"/>
                <a:ea typeface="Calibri"/>
                <a:cs typeface="Calibri"/>
              </a:defRPr>
            </a:pPr>
            <a:endParaRPr lang="en-US"/>
          </a:p>
        </c:txPr>
        <c:crossAx val="200030464"/>
        <c:crosses val="autoZero"/>
        <c:crossBetween val="between"/>
        <c:dispUnits>
          <c:builtInUnit val="millions"/>
        </c:dispUnits>
      </c:valAx>
    </c:plotArea>
    <c:legend>
      <c:legendPos val="b"/>
      <c:txPr>
        <a:bodyPr/>
        <a:lstStyle/>
        <a:p>
          <a:pPr>
            <a:defRPr sz="1350" b="1" i="0" u="none" strike="noStrike" baseline="0">
              <a:solidFill>
                <a:srgbClr val="000000"/>
              </a:solidFill>
              <a:latin typeface="Calibri"/>
              <a:ea typeface="Calibri"/>
              <a:cs typeface="Calibri"/>
            </a:defRPr>
          </a:pPr>
          <a:endParaRPr lang="en-U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2400" b="1" i="0" u="none" strike="noStrike" baseline="0">
                <a:solidFill>
                  <a:srgbClr val="000000"/>
                </a:solidFill>
                <a:latin typeface="Calibri"/>
                <a:ea typeface="Calibri"/>
                <a:cs typeface="Calibri"/>
              </a:defRPr>
            </a:pPr>
            <a:r>
              <a:rPr lang="en-US"/>
              <a:t>Total Available Supply versus Total Sales </a:t>
            </a:r>
          </a:p>
        </c:rich>
      </c:tx>
    </c:title>
    <c:plotArea>
      <c:layout/>
      <c:lineChart>
        <c:grouping val="standard"/>
        <c:ser>
          <c:idx val="1"/>
          <c:order val="0"/>
          <c:tx>
            <c:strRef>
              <c:f>'total available supply and Sale'!$H$2</c:f>
              <c:strCache>
                <c:ptCount val="1"/>
                <c:pt idx="0">
                  <c:v>Total Available Supply</c:v>
                </c:pt>
              </c:strCache>
            </c:strRef>
          </c:tx>
          <c:spPr>
            <a:ln w="50800"/>
          </c:spPr>
          <c:marker>
            <c:symbol val="none"/>
          </c:marker>
          <c:cat>
            <c:numRef>
              <c:f>'total available supply and Sale'!$A$4:$A$32</c:f>
              <c:numCache>
                <c:formatCode>General</c:formatCode>
                <c:ptCount val="29"/>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formatCode="0">
                  <c:v>2010</c:v>
                </c:pt>
                <c:pt idx="23" formatCode="0">
                  <c:v>2011</c:v>
                </c:pt>
                <c:pt idx="24" formatCode="0">
                  <c:v>2012</c:v>
                </c:pt>
                <c:pt idx="25" formatCode="0">
                  <c:v>2013</c:v>
                </c:pt>
                <c:pt idx="26" formatCode="0">
                  <c:v>2014</c:v>
                </c:pt>
                <c:pt idx="27" formatCode="0">
                  <c:v>2015</c:v>
                </c:pt>
                <c:pt idx="28" formatCode="0">
                  <c:v>2016</c:v>
                </c:pt>
              </c:numCache>
            </c:numRef>
          </c:cat>
          <c:val>
            <c:numRef>
              <c:f>'total available supply and Sale'!$H$4:$H$33</c:f>
              <c:numCache>
                <c:formatCode>_(* #,##0_);_(* \(#,##0\);_(* "-"??_);_(@_)</c:formatCode>
                <c:ptCount val="30"/>
                <c:pt idx="0">
                  <c:v>5240717</c:v>
                </c:pt>
                <c:pt idx="1">
                  <c:v>4972496</c:v>
                </c:pt>
                <c:pt idx="2">
                  <c:v>5000181</c:v>
                </c:pt>
                <c:pt idx="3">
                  <c:v>5860830</c:v>
                </c:pt>
                <c:pt idx="4">
                  <c:v>5718070</c:v>
                </c:pt>
                <c:pt idx="5">
                  <c:v>5711343</c:v>
                </c:pt>
                <c:pt idx="6">
                  <c:v>6454382</c:v>
                </c:pt>
                <c:pt idx="7">
                  <c:v>6014151</c:v>
                </c:pt>
                <c:pt idx="8">
                  <c:v>6163610</c:v>
                </c:pt>
                <c:pt idx="9">
                  <c:v>7209230</c:v>
                </c:pt>
                <c:pt idx="10">
                  <c:v>8268343</c:v>
                </c:pt>
                <c:pt idx="11">
                  <c:v>10074309</c:v>
                </c:pt>
                <c:pt idx="12">
                  <c:v>10386765</c:v>
                </c:pt>
                <c:pt idx="13">
                  <c:v>9222373</c:v>
                </c:pt>
                <c:pt idx="14">
                  <c:v>9121007</c:v>
                </c:pt>
                <c:pt idx="15">
                  <c:v>9793343</c:v>
                </c:pt>
                <c:pt idx="16">
                  <c:v>10474033</c:v>
                </c:pt>
                <c:pt idx="17">
                  <c:v>10569158</c:v>
                </c:pt>
                <c:pt idx="18">
                  <c:v>10925763</c:v>
                </c:pt>
                <c:pt idx="19">
                  <c:v>10720356</c:v>
                </c:pt>
                <c:pt idx="20">
                  <c:v>11817149</c:v>
                </c:pt>
                <c:pt idx="21">
                  <c:v>12497947</c:v>
                </c:pt>
                <c:pt idx="22">
                  <c:v>12358652</c:v>
                </c:pt>
                <c:pt idx="23">
                  <c:v>12916437</c:v>
                </c:pt>
                <c:pt idx="24">
                  <c:v>14051092</c:v>
                </c:pt>
                <c:pt idx="25">
                  <c:v>16206493</c:v>
                </c:pt>
                <c:pt idx="26">
                  <c:v>17385422</c:v>
                </c:pt>
                <c:pt idx="27">
                  <c:v>17793926</c:v>
                </c:pt>
                <c:pt idx="28">
                  <c:v>19662007</c:v>
                </c:pt>
                <c:pt idx="29">
                  <c:v>19162610</c:v>
                </c:pt>
              </c:numCache>
            </c:numRef>
          </c:val>
          <c:extLst xmlns:c16r2="http://schemas.microsoft.com/office/drawing/2015/06/chart">
            <c:ext xmlns:c16="http://schemas.microsoft.com/office/drawing/2014/chart" uri="{C3380CC4-5D6E-409C-BE32-E72D297353CC}">
              <c16:uniqueId val="{00000000-F565-4814-8414-F63FCCDA50DF}"/>
            </c:ext>
          </c:extLst>
        </c:ser>
        <c:ser>
          <c:idx val="2"/>
          <c:order val="1"/>
          <c:tx>
            <c:strRef>
              <c:f>'total available supply and Sale'!$F$2</c:f>
              <c:strCache>
                <c:ptCount val="1"/>
                <c:pt idx="0">
                  <c:v>Total Sales </c:v>
                </c:pt>
              </c:strCache>
            </c:strRef>
          </c:tx>
          <c:spPr>
            <a:ln w="50800"/>
          </c:spPr>
          <c:marker>
            <c:symbol val="none"/>
          </c:marker>
          <c:cat>
            <c:numRef>
              <c:f>'total available supply and Sale'!$A$4:$A$32</c:f>
              <c:numCache>
                <c:formatCode>General</c:formatCode>
                <c:ptCount val="29"/>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formatCode="0">
                  <c:v>2010</c:v>
                </c:pt>
                <c:pt idx="23" formatCode="0">
                  <c:v>2011</c:v>
                </c:pt>
                <c:pt idx="24" formatCode="0">
                  <c:v>2012</c:v>
                </c:pt>
                <c:pt idx="25" formatCode="0">
                  <c:v>2013</c:v>
                </c:pt>
                <c:pt idx="26" formatCode="0">
                  <c:v>2014</c:v>
                </c:pt>
                <c:pt idx="27" formatCode="0">
                  <c:v>2015</c:v>
                </c:pt>
                <c:pt idx="28" formatCode="0">
                  <c:v>2016</c:v>
                </c:pt>
              </c:numCache>
            </c:numRef>
          </c:cat>
          <c:val>
            <c:numRef>
              <c:f>'total available supply and Sale'!$F$4:$F$33</c:f>
              <c:numCache>
                <c:formatCode>_(* #,##0_);_(* \(#,##0\);_(* "-"??_);_(@_)</c:formatCode>
                <c:ptCount val="30"/>
                <c:pt idx="0">
                  <c:v>4131054</c:v>
                </c:pt>
                <c:pt idx="1">
                  <c:v>3860075</c:v>
                </c:pt>
                <c:pt idx="2">
                  <c:v>4031330</c:v>
                </c:pt>
                <c:pt idx="3">
                  <c:v>4549625</c:v>
                </c:pt>
                <c:pt idx="4">
                  <c:v>4170298</c:v>
                </c:pt>
                <c:pt idx="5">
                  <c:v>4370977</c:v>
                </c:pt>
                <c:pt idx="6">
                  <c:v>5053585</c:v>
                </c:pt>
                <c:pt idx="7">
                  <c:v>4775426</c:v>
                </c:pt>
                <c:pt idx="8">
                  <c:v>4771237</c:v>
                </c:pt>
                <c:pt idx="9">
                  <c:v>5120594</c:v>
                </c:pt>
                <c:pt idx="10">
                  <c:v>5161732</c:v>
                </c:pt>
                <c:pt idx="11">
                  <c:v>5510370</c:v>
                </c:pt>
                <c:pt idx="12">
                  <c:v>6358615</c:v>
                </c:pt>
                <c:pt idx="13">
                  <c:v>6653166</c:v>
                </c:pt>
                <c:pt idx="14">
                  <c:v>6376349</c:v>
                </c:pt>
                <c:pt idx="15">
                  <c:v>6678668</c:v>
                </c:pt>
                <c:pt idx="16">
                  <c:v>7005814</c:v>
                </c:pt>
                <c:pt idx="17">
                  <c:v>7113405</c:v>
                </c:pt>
                <c:pt idx="18">
                  <c:v>7729272</c:v>
                </c:pt>
                <c:pt idx="19">
                  <c:v>7741635</c:v>
                </c:pt>
                <c:pt idx="20">
                  <c:v>7418989</c:v>
                </c:pt>
                <c:pt idx="21">
                  <c:v>7632570</c:v>
                </c:pt>
                <c:pt idx="22">
                  <c:v>8222919</c:v>
                </c:pt>
                <c:pt idx="23">
                  <c:v>7835097</c:v>
                </c:pt>
                <c:pt idx="24">
                  <c:v>7829354</c:v>
                </c:pt>
                <c:pt idx="25">
                  <c:v>8540442</c:v>
                </c:pt>
                <c:pt idx="26">
                  <c:v>9150537</c:v>
                </c:pt>
                <c:pt idx="27">
                  <c:v>9490587</c:v>
                </c:pt>
                <c:pt idx="28">
                  <c:v>9546923</c:v>
                </c:pt>
                <c:pt idx="29">
                  <c:v>11061127</c:v>
                </c:pt>
              </c:numCache>
            </c:numRef>
          </c:val>
          <c:extLst xmlns:c16r2="http://schemas.microsoft.com/office/drawing/2015/06/chart">
            <c:ext xmlns:c16="http://schemas.microsoft.com/office/drawing/2014/chart" uri="{C3380CC4-5D6E-409C-BE32-E72D297353CC}">
              <c16:uniqueId val="{00000001-F565-4814-8414-F63FCCDA50DF}"/>
            </c:ext>
          </c:extLst>
        </c:ser>
        <c:dLbls/>
        <c:marker val="1"/>
        <c:axId val="213919616"/>
        <c:axId val="213921152"/>
      </c:lineChart>
      <c:catAx>
        <c:axId val="213919616"/>
        <c:scaling>
          <c:orientation val="minMax"/>
        </c:scaling>
        <c:axPos val="b"/>
        <c:numFmt formatCode="General" sourceLinked="1"/>
        <c:tickLblPos val="nextTo"/>
        <c:txPr>
          <a:bodyPr rot="0" vert="horz"/>
          <a:lstStyle/>
          <a:p>
            <a:pPr>
              <a:defRPr sz="1400" b="1" i="0" u="none" strike="noStrike" baseline="0">
                <a:solidFill>
                  <a:srgbClr val="000000"/>
                </a:solidFill>
                <a:latin typeface="Calibri"/>
                <a:ea typeface="Calibri"/>
                <a:cs typeface="Calibri"/>
              </a:defRPr>
            </a:pPr>
            <a:endParaRPr lang="en-US"/>
          </a:p>
        </c:txPr>
        <c:crossAx val="213921152"/>
        <c:crosses val="autoZero"/>
        <c:auto val="1"/>
        <c:lblAlgn val="ctr"/>
        <c:lblOffset val="100"/>
        <c:tickLblSkip val="4"/>
      </c:catAx>
      <c:valAx>
        <c:axId val="213921152"/>
        <c:scaling>
          <c:orientation val="minMax"/>
        </c:scaling>
        <c:axPos val="l"/>
        <c:majorGridlines/>
        <c:title>
          <c:tx>
            <c:rich>
              <a:bodyPr/>
              <a:lstStyle/>
              <a:p>
                <a:pPr>
                  <a:defRPr sz="1600" b="1" i="0" u="none" strike="noStrike" baseline="0">
                    <a:solidFill>
                      <a:srgbClr val="000000"/>
                    </a:solidFill>
                    <a:latin typeface="Calibri"/>
                    <a:ea typeface="Calibri"/>
                    <a:cs typeface="Calibri"/>
                  </a:defRPr>
                </a:pPr>
                <a:r>
                  <a:rPr lang="en-US"/>
                  <a:t>Millions  of Barrels</a:t>
                </a:r>
              </a:p>
            </c:rich>
          </c:tx>
        </c:title>
        <c:numFmt formatCode="_(* #,##0_);_(* \(#,##0\);_(* &quot;-&quot;??_);_(@_)" sourceLinked="1"/>
        <c:tickLblPos val="nextTo"/>
        <c:txPr>
          <a:bodyPr rot="0" vert="horz"/>
          <a:lstStyle/>
          <a:p>
            <a:pPr>
              <a:defRPr sz="1600" b="1" i="0" u="none" strike="noStrike" baseline="0">
                <a:solidFill>
                  <a:srgbClr val="000000"/>
                </a:solidFill>
                <a:latin typeface="Calibri"/>
                <a:ea typeface="Calibri"/>
                <a:cs typeface="Calibri"/>
              </a:defRPr>
            </a:pPr>
            <a:endParaRPr lang="en-US"/>
          </a:p>
        </c:txPr>
        <c:crossAx val="213919616"/>
        <c:crosses val="autoZero"/>
        <c:crossBetween val="between"/>
        <c:dispUnits>
          <c:builtInUnit val="millions"/>
        </c:dispUnits>
      </c:valAx>
    </c:plotArea>
    <c:legend>
      <c:legendPos val="b"/>
      <c:layout>
        <c:manualLayout>
          <c:xMode val="edge"/>
          <c:yMode val="edge"/>
          <c:x val="0.2453911742880325"/>
          <c:y val="0.95140905114133467"/>
          <c:w val="0.57222132711959151"/>
          <c:h val="3.6485007555873958E-2"/>
        </c:manualLayout>
      </c:layout>
      <c:txPr>
        <a:bodyPr/>
        <a:lstStyle/>
        <a:p>
          <a:pPr>
            <a:defRPr sz="1350" b="1" i="0" u="none" strike="noStrike" baseline="0">
              <a:solidFill>
                <a:srgbClr val="000000"/>
              </a:solidFill>
              <a:latin typeface="Calibri"/>
              <a:ea typeface="Calibri"/>
              <a:cs typeface="Calibri"/>
            </a:defRPr>
          </a:pPr>
          <a:endParaRPr lang="en-U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n-US"/>
    </a:p>
  </c:txPr>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2400" b="1" i="0" u="none" strike="noStrike" baseline="0">
                <a:solidFill>
                  <a:srgbClr val="000000"/>
                </a:solidFill>
                <a:latin typeface="Calibri"/>
                <a:ea typeface="Calibri"/>
                <a:cs typeface="Calibri"/>
              </a:defRPr>
            </a:pPr>
            <a:r>
              <a:rPr lang="en-US"/>
              <a:t>Carry In Inventories</a:t>
            </a:r>
          </a:p>
        </c:rich>
      </c:tx>
      <c:layout>
        <c:manualLayout>
          <c:xMode val="edge"/>
          <c:yMode val="edge"/>
          <c:x val="0.36710980358224493"/>
          <c:y val="2.0171457387796271E-2"/>
        </c:manualLayout>
      </c:layout>
    </c:title>
    <c:view3D>
      <c:depthPercent val="100"/>
      <c:rAngAx val="1"/>
    </c:view3D>
    <c:plotArea>
      <c:layout/>
      <c:bar3DChart>
        <c:barDir val="bar"/>
        <c:grouping val="clustered"/>
        <c:ser>
          <c:idx val="0"/>
          <c:order val="0"/>
          <c:tx>
            <c:strRef>
              <c:f>'total available supply and Sale'!$B$2</c:f>
              <c:strCache>
                <c:ptCount val="1"/>
                <c:pt idx="0">
                  <c:v>Carryin Inventories</c:v>
                </c:pt>
              </c:strCache>
            </c:strRef>
          </c:tx>
          <c:dLbls>
            <c:dLbl>
              <c:idx val="12"/>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CB08-4301-829B-047029A842E8}"/>
                </c:ext>
              </c:extLst>
            </c:dLbl>
            <c:dLbl>
              <c:idx val="25"/>
              <c:layout>
                <c:manualLayout>
                  <c:x val="1.7621145374449341E-2"/>
                  <c:y val="1.8574591233585541E-17"/>
                </c:manualLayout>
              </c:layout>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CB08-4301-829B-047029A842E8}"/>
                </c:ext>
              </c:extLst>
            </c:dLbl>
            <c:dLbl>
              <c:idx val="26"/>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CB08-4301-829B-047029A842E8}"/>
                </c:ext>
              </c:extLst>
            </c:dLbl>
            <c:dLbl>
              <c:idx val="27"/>
              <c:layout>
                <c:manualLayout>
                  <c:x val="2.4892273081249486E-2"/>
                  <c:y val="-1.0117494768524585E-4"/>
                </c:manualLayout>
              </c:layout>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CB08-4301-829B-047029A842E8}"/>
                </c:ext>
              </c:extLst>
            </c:dLbl>
            <c:dLbl>
              <c:idx val="28"/>
              <c:layout>
                <c:manualLayout>
                  <c:x val="7.3260073260072176E-3"/>
                  <c:y val="0"/>
                </c:manualLayout>
              </c:layout>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CB08-4301-829B-047029A842E8}"/>
                </c:ext>
              </c:extLst>
            </c:dLbl>
            <c:dLbl>
              <c:idx val="29"/>
              <c:layout>
                <c:manualLayout>
                  <c:x val="-4.3956043956043999E-3"/>
                  <c:y val="-3.025718608169442E-2"/>
                </c:manualLayout>
              </c:layout>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CB08-4301-829B-047029A842E8}"/>
                </c:ext>
              </c:extLst>
            </c:dLbl>
            <c:dLbl>
              <c:idx val="30"/>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6E38-48AC-B5BA-F06AFB4C30EB}"/>
                </c:ext>
              </c:extLst>
            </c:dLbl>
            <c:delete val="1"/>
            <c:numFmt formatCode="#,##0.0" sourceLinked="0"/>
            <c:spPr>
              <a:noFill/>
              <a:ln>
                <a:noFill/>
              </a:ln>
              <a:effectLst/>
            </c:spPr>
            <c:txPr>
              <a:bodyPr wrap="square" lIns="38100" tIns="19050" rIns="38100" bIns="19050" anchor="ctr">
                <a:spAutoFit/>
              </a:bodyPr>
              <a:lstStyle/>
              <a:p>
                <a:pPr>
                  <a:defRPr sz="1200"/>
                </a:pPr>
                <a:endParaRPr lang="en-US"/>
              </a:p>
            </c:txPr>
            <c:extLst xmlns:c16r2="http://schemas.microsoft.com/office/drawing/2015/06/chart">
              <c:ext xmlns:c15="http://schemas.microsoft.com/office/drawing/2012/chart" uri="{CE6537A1-D6FC-4f65-9D91-7224C49458BB}">
                <c15:showLeaderLines val="1"/>
              </c:ext>
            </c:extLst>
          </c:dLbls>
          <c:cat>
            <c:numRef>
              <c:f>'total available supply and Sale'!$A$82:$A$112</c:f>
              <c:numCache>
                <c:formatCode>General</c:formatCode>
                <c:ptCount val="31"/>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formatCode="0">
                  <c:v>2010</c:v>
                </c:pt>
                <c:pt idx="23" formatCode="0">
                  <c:v>2011</c:v>
                </c:pt>
                <c:pt idx="24" formatCode="0">
                  <c:v>2012</c:v>
                </c:pt>
                <c:pt idx="25" formatCode="0">
                  <c:v>2013</c:v>
                </c:pt>
                <c:pt idx="26" formatCode="0">
                  <c:v>2014</c:v>
                </c:pt>
                <c:pt idx="27" formatCode="0">
                  <c:v>2015</c:v>
                </c:pt>
                <c:pt idx="28">
                  <c:v>2016</c:v>
                </c:pt>
                <c:pt idx="29">
                  <c:v>2017</c:v>
                </c:pt>
                <c:pt idx="30">
                  <c:v>2018</c:v>
                </c:pt>
              </c:numCache>
            </c:numRef>
          </c:cat>
          <c:val>
            <c:numRef>
              <c:f>'total available supply and Sale'!$B$82:$B$112</c:f>
              <c:numCache>
                <c:formatCode>General</c:formatCode>
                <c:ptCount val="31"/>
                <c:pt idx="0">
                  <c:v>883773</c:v>
                </c:pt>
                <c:pt idx="1">
                  <c:v>985452</c:v>
                </c:pt>
                <c:pt idx="2">
                  <c:v>1216958</c:v>
                </c:pt>
                <c:pt idx="3">
                  <c:v>1261045</c:v>
                </c:pt>
                <c:pt idx="4">
                  <c:v>1151398</c:v>
                </c:pt>
                <c:pt idx="5">
                  <c:v>1428245</c:v>
                </c:pt>
                <c:pt idx="6">
                  <c:v>1213923</c:v>
                </c:pt>
                <c:pt idx="7">
                  <c:v>1256548</c:v>
                </c:pt>
                <c:pt idx="8">
                  <c:v>983858</c:v>
                </c:pt>
                <c:pt idx="9">
                  <c:v>1251968</c:v>
                </c:pt>
                <c:pt idx="10">
                  <c:v>2195873</c:v>
                </c:pt>
                <c:pt idx="11">
                  <c:v>3058921</c:v>
                </c:pt>
                <c:pt idx="12">
                  <c:v>4177384</c:v>
                </c:pt>
                <c:pt idx="13">
                  <c:v>3731865</c:v>
                </c:pt>
                <c:pt idx="14">
                  <c:v>2500915</c:v>
                </c:pt>
                <c:pt idx="15">
                  <c:v>2505654</c:v>
                </c:pt>
                <c:pt idx="16">
                  <c:v>3257031</c:v>
                </c:pt>
                <c:pt idx="17">
                  <c:v>3271326</c:v>
                </c:pt>
                <c:pt idx="18">
                  <c:v>3036560</c:v>
                </c:pt>
                <c:pt idx="19">
                  <c:v>3169908</c:v>
                </c:pt>
                <c:pt idx="20">
                  <c:v>3020302</c:v>
                </c:pt>
                <c:pt idx="21">
                  <c:v>4445751</c:v>
                </c:pt>
                <c:pt idx="22">
                  <c:v>4662313</c:v>
                </c:pt>
                <c:pt idx="23">
                  <c:v>4130116</c:v>
                </c:pt>
                <c:pt idx="24">
                  <c:v>4616296</c:v>
                </c:pt>
                <c:pt idx="25">
                  <c:v>5840394</c:v>
                </c:pt>
                <c:pt idx="26">
                  <c:v>7479154</c:v>
                </c:pt>
                <c:pt idx="27">
                  <c:v>7716536</c:v>
                </c:pt>
                <c:pt idx="28">
                  <c:v>8302779</c:v>
                </c:pt>
                <c:pt idx="29">
                  <c:v>9745381</c:v>
                </c:pt>
                <c:pt idx="30">
                  <c:v>7393972</c:v>
                </c:pt>
              </c:numCache>
            </c:numRef>
          </c:val>
          <c:shape val="box"/>
          <c:extLst xmlns:c16r2="http://schemas.microsoft.com/office/drawing/2015/06/chart">
            <c:ext xmlns:c16="http://schemas.microsoft.com/office/drawing/2014/chart" uri="{C3380CC4-5D6E-409C-BE32-E72D297353CC}">
              <c16:uniqueId val="{00000006-CB08-4301-829B-047029A842E8}"/>
            </c:ext>
          </c:extLst>
        </c:ser>
        <c:dLbls/>
        <c:gapDepth val="102"/>
        <c:shape val="cylinder"/>
        <c:axId val="213950848"/>
        <c:axId val="213952384"/>
        <c:axId val="0"/>
      </c:bar3DChart>
      <c:catAx>
        <c:axId val="213950848"/>
        <c:scaling>
          <c:orientation val="minMax"/>
        </c:scaling>
        <c:axPos val="l"/>
        <c:numFmt formatCode="General" sourceLinked="1"/>
        <c:tickLblPos val="nextTo"/>
        <c:txPr>
          <a:bodyPr rot="0" vert="horz"/>
          <a:lstStyle/>
          <a:p>
            <a:pPr>
              <a:defRPr sz="1600" b="1" i="0" u="none" strike="noStrike" baseline="0">
                <a:solidFill>
                  <a:srgbClr val="000000"/>
                </a:solidFill>
                <a:latin typeface="Calibri"/>
                <a:ea typeface="Calibri"/>
                <a:cs typeface="Calibri"/>
              </a:defRPr>
            </a:pPr>
            <a:endParaRPr lang="en-US"/>
          </a:p>
        </c:txPr>
        <c:crossAx val="213952384"/>
        <c:crosses val="autoZero"/>
        <c:auto val="1"/>
        <c:lblAlgn val="ctr"/>
        <c:lblOffset val="100"/>
        <c:tickLblSkip val="1"/>
      </c:catAx>
      <c:valAx>
        <c:axId val="213952384"/>
        <c:scaling>
          <c:orientation val="minMax"/>
        </c:scaling>
        <c:axPos val="b"/>
        <c:majorGridlines/>
        <c:title>
          <c:tx>
            <c:rich>
              <a:bodyPr/>
              <a:lstStyle/>
              <a:p>
                <a:pPr>
                  <a:defRPr sz="1600" b="1" i="0" u="none" strike="noStrike" baseline="0">
                    <a:solidFill>
                      <a:srgbClr val="000000"/>
                    </a:solidFill>
                    <a:latin typeface="Calibri"/>
                    <a:ea typeface="Calibri"/>
                    <a:cs typeface="Calibri"/>
                  </a:defRPr>
                </a:pPr>
                <a:r>
                  <a:rPr lang="en-US"/>
                  <a:t>Millions of Barrels</a:t>
                </a:r>
              </a:p>
            </c:rich>
          </c:tx>
        </c:title>
        <c:numFmt formatCode="General" sourceLinked="1"/>
        <c:tickLblPos val="nextTo"/>
        <c:txPr>
          <a:bodyPr rot="0" vert="horz"/>
          <a:lstStyle/>
          <a:p>
            <a:pPr>
              <a:defRPr sz="1600" b="1" i="0" u="none" strike="noStrike" baseline="0">
                <a:solidFill>
                  <a:srgbClr val="000000"/>
                </a:solidFill>
                <a:latin typeface="Calibri"/>
                <a:ea typeface="Calibri"/>
                <a:cs typeface="Calibri"/>
              </a:defRPr>
            </a:pPr>
            <a:endParaRPr lang="en-US"/>
          </a:p>
        </c:txPr>
        <c:crossAx val="213950848"/>
        <c:crossesAt val="1"/>
        <c:crossBetween val="between"/>
        <c:dispUnits>
          <c:builtInUnit val="millions"/>
        </c:dispUnits>
      </c:valAx>
      <c:spPr>
        <a:noFill/>
        <a:ln w="25400">
          <a:noFill/>
        </a:ln>
      </c:spPr>
    </c:plotArea>
    <c:plotVisOnly val="1"/>
    <c:dispBlanksAs val="gap"/>
  </c:chart>
  <c:txPr>
    <a:bodyPr/>
    <a:lstStyle/>
    <a:p>
      <a:pPr>
        <a:defRPr sz="1000" b="0" i="0" u="none" strike="noStrike" baseline="0">
          <a:solidFill>
            <a:srgbClr val="000000"/>
          </a:solidFill>
          <a:latin typeface="Calibri"/>
          <a:ea typeface="Calibri"/>
          <a:cs typeface="Calibri"/>
        </a:defRPr>
      </a:pPr>
      <a:endParaRPr lang="en-US"/>
    </a:p>
  </c:txPr>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2400" b="1" i="0" u="none" strike="noStrike" baseline="0">
                <a:solidFill>
                  <a:srgbClr val="000000"/>
                </a:solidFill>
                <a:latin typeface="Calibri"/>
                <a:ea typeface="Calibri"/>
                <a:cs typeface="Calibri"/>
              </a:defRPr>
            </a:pPr>
            <a:r>
              <a:rPr lang="en-US"/>
              <a:t>Carry Out Inventory as a Percent of Total Sales</a:t>
            </a:r>
          </a:p>
        </c:rich>
      </c:tx>
    </c:title>
    <c:view3D>
      <c:depthPercent val="100"/>
      <c:rAngAx val="1"/>
    </c:view3D>
    <c:plotArea>
      <c:layout/>
      <c:bar3DChart>
        <c:barDir val="bar"/>
        <c:grouping val="clustered"/>
        <c:ser>
          <c:idx val="0"/>
          <c:order val="0"/>
          <c:tx>
            <c:strRef>
              <c:f>'total available supply and Sale'!$L$2</c:f>
              <c:strCache>
                <c:ptCount val="1"/>
                <c:pt idx="0">
                  <c:v>Carry-out Inventory % of total Sales</c:v>
                </c:pt>
              </c:strCache>
            </c:strRef>
          </c:tx>
          <c:dLbls>
            <c:dLbl>
              <c:idx val="11"/>
              <c:layout>
                <c:manualLayout>
                  <c:x val="2.3494860499265892E-2"/>
                  <c:y val="-2.0263424518744411E-3"/>
                </c:manualLayout>
              </c:layout>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8317-46B8-9872-47FEE44052F7}"/>
                </c:ext>
              </c:extLst>
            </c:dLbl>
            <c:dLbl>
              <c:idx val="25"/>
              <c:layout>
                <c:manualLayout>
                  <c:x val="1.0195148683337665E-2"/>
                  <c:y val="1.1959927096855054E-4"/>
                </c:manualLayout>
              </c:layout>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8317-46B8-9872-47FEE44052F7}"/>
                </c:ext>
              </c:extLst>
            </c:dLbl>
            <c:dLbl>
              <c:idx val="26"/>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8317-46B8-9872-47FEE44052F7}"/>
                </c:ext>
              </c:extLst>
            </c:dLbl>
            <c:dLbl>
              <c:idx val="27"/>
              <c:layout>
                <c:manualLayout>
                  <c:x val="2.8691413573303389E-3"/>
                  <c:y val="-2.1551693330315556E-3"/>
                </c:manualLayout>
              </c:layout>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8317-46B8-9872-47FEE44052F7}"/>
                </c:ext>
              </c:extLst>
            </c:dLbl>
            <c:dLbl>
              <c:idx val="28"/>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8317-46B8-9872-47FEE44052F7}"/>
                </c:ext>
              </c:extLst>
            </c:dLbl>
            <c:dLbl>
              <c:idx val="29"/>
              <c:layout>
                <c:manualLayout>
                  <c:x val="1.6117216117216011E-2"/>
                  <c:y val="-2.0171457387796452E-3"/>
                </c:manualLayout>
              </c:layout>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8317-46B8-9872-47FEE44052F7}"/>
                </c:ext>
              </c:extLst>
            </c:dLbl>
            <c:delete val="1"/>
            <c:numFmt formatCode="0%" sourceLinked="0"/>
            <c:spPr>
              <a:noFill/>
              <a:ln>
                <a:noFill/>
              </a:ln>
              <a:effectLst/>
            </c:spPr>
            <c:txPr>
              <a:bodyPr wrap="square" lIns="38100" tIns="19050" rIns="38100" bIns="19050" anchor="ctr">
                <a:spAutoFit/>
              </a:bodyPr>
              <a:lstStyle/>
              <a:p>
                <a:pPr>
                  <a:defRPr sz="1200"/>
                </a:pPr>
                <a:endParaRPr lang="en-US"/>
              </a:p>
            </c:txPr>
            <c:extLst xmlns:c16r2="http://schemas.microsoft.com/office/drawing/2015/06/chart">
              <c:ext xmlns:c15="http://schemas.microsoft.com/office/drawing/2012/chart" uri="{CE6537A1-D6FC-4f65-9D91-7224C49458BB}">
                <c15:showLeaderLines val="1"/>
              </c:ext>
            </c:extLst>
          </c:dLbls>
          <c:cat>
            <c:numRef>
              <c:f>'total available supply and Sale'!$A$4:$A$32</c:f>
              <c:numCache>
                <c:formatCode>General</c:formatCode>
                <c:ptCount val="29"/>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formatCode="0">
                  <c:v>2010</c:v>
                </c:pt>
                <c:pt idx="23" formatCode="0">
                  <c:v>2011</c:v>
                </c:pt>
                <c:pt idx="24" formatCode="0">
                  <c:v>2012</c:v>
                </c:pt>
                <c:pt idx="25" formatCode="0">
                  <c:v>2013</c:v>
                </c:pt>
                <c:pt idx="26" formatCode="0">
                  <c:v>2014</c:v>
                </c:pt>
                <c:pt idx="27" formatCode="0">
                  <c:v>2015</c:v>
                </c:pt>
                <c:pt idx="28" formatCode="0">
                  <c:v>2016</c:v>
                </c:pt>
              </c:numCache>
            </c:numRef>
          </c:cat>
          <c:val>
            <c:numRef>
              <c:f>'total available supply and Sale'!$L$4:$L$33</c:f>
              <c:numCache>
                <c:formatCode>0.00%</c:formatCode>
                <c:ptCount val="30"/>
                <c:pt idx="0">
                  <c:v>0.22104310425378124</c:v>
                </c:pt>
                <c:pt idx="1">
                  <c:v>0.21729914574198689</c:v>
                </c:pt>
                <c:pt idx="2">
                  <c:v>0.19137282236879641</c:v>
                </c:pt>
                <c:pt idx="3">
                  <c:v>0.24979465340550044</c:v>
                </c:pt>
                <c:pt idx="4">
                  <c:v>0.33172833212398728</c:v>
                </c:pt>
                <c:pt idx="5">
                  <c:v>0.2720803609810804</c:v>
                </c:pt>
                <c:pt idx="6">
                  <c:v>0.23483071918252094</c:v>
                </c:pt>
                <c:pt idx="7">
                  <c:v>0.18575724971971086</c:v>
                </c:pt>
                <c:pt idx="8">
                  <c:v>0.25597533721338933</c:v>
                </c:pt>
                <c:pt idx="9">
                  <c:v>0.39789153367753821</c:v>
                </c:pt>
                <c:pt idx="10">
                  <c:v>0.6020006462946933</c:v>
                </c:pt>
                <c:pt idx="11">
                  <c:v>0.77545917969210776</c:v>
                </c:pt>
                <c:pt idx="12">
                  <c:v>0.57533629571848588</c:v>
                </c:pt>
                <c:pt idx="13">
                  <c:v>0.36750668779345053</c:v>
                </c:pt>
                <c:pt idx="14">
                  <c:v>0.39183535907460521</c:v>
                </c:pt>
                <c:pt idx="15">
                  <c:v>0.46087513258631813</c:v>
                </c:pt>
                <c:pt idx="16">
                  <c:v>0.46185753718268857</c:v>
                </c:pt>
                <c:pt idx="17">
                  <c:v>0.42030841769869703</c:v>
                </c:pt>
                <c:pt idx="18">
                  <c:v>0.38560682040947714</c:v>
                </c:pt>
                <c:pt idx="19">
                  <c:v>0.38177555516373479</c:v>
                </c:pt>
                <c:pt idx="20">
                  <c:v>0.58556873450007807</c:v>
                </c:pt>
                <c:pt idx="21">
                  <c:v>0.60414853712445482</c:v>
                </c:pt>
                <c:pt idx="22">
                  <c:v>0.49648683150107642</c:v>
                </c:pt>
                <c:pt idx="23">
                  <c:v>0.58299278234845087</c:v>
                </c:pt>
                <c:pt idx="24">
                  <c:v>0.73999655654859908</c:v>
                </c:pt>
                <c:pt idx="25">
                  <c:v>0.87920320751548919</c:v>
                </c:pt>
                <c:pt idx="26">
                  <c:v>0.83832194766274371</c:v>
                </c:pt>
                <c:pt idx="27">
                  <c:v>0.87512426786667674</c:v>
                </c:pt>
                <c:pt idx="28">
                  <c:v>1.0207876401642708</c:v>
                </c:pt>
                <c:pt idx="29">
                  <c:v>0.66846461486248188</c:v>
                </c:pt>
              </c:numCache>
            </c:numRef>
          </c:val>
          <c:extLst xmlns:c16r2="http://schemas.microsoft.com/office/drawing/2015/06/chart">
            <c:ext xmlns:c16="http://schemas.microsoft.com/office/drawing/2014/chart" uri="{C3380CC4-5D6E-409C-BE32-E72D297353CC}">
              <c16:uniqueId val="{00000006-8317-46B8-9872-47FEE44052F7}"/>
            </c:ext>
          </c:extLst>
        </c:ser>
        <c:dLbls/>
        <c:shape val="cylinder"/>
        <c:axId val="214099840"/>
        <c:axId val="214101376"/>
        <c:axId val="0"/>
      </c:bar3DChart>
      <c:catAx>
        <c:axId val="214099840"/>
        <c:scaling>
          <c:orientation val="minMax"/>
        </c:scaling>
        <c:axPos val="l"/>
        <c:numFmt formatCode="General" sourceLinked="1"/>
        <c:tickLblPos val="nextTo"/>
        <c:txPr>
          <a:bodyPr rot="0" vert="horz"/>
          <a:lstStyle/>
          <a:p>
            <a:pPr>
              <a:defRPr sz="1600" b="1" i="0" u="none" strike="noStrike" baseline="0">
                <a:solidFill>
                  <a:srgbClr val="000000"/>
                </a:solidFill>
                <a:latin typeface="Calibri"/>
                <a:ea typeface="Calibri"/>
                <a:cs typeface="Calibri"/>
              </a:defRPr>
            </a:pPr>
            <a:endParaRPr lang="en-US"/>
          </a:p>
        </c:txPr>
        <c:crossAx val="214101376"/>
        <c:crosses val="autoZero"/>
        <c:auto val="1"/>
        <c:lblAlgn val="ctr"/>
        <c:lblOffset val="100"/>
        <c:tickLblSkip val="4"/>
      </c:catAx>
      <c:valAx>
        <c:axId val="214101376"/>
        <c:scaling>
          <c:orientation val="minMax"/>
        </c:scaling>
        <c:axPos val="b"/>
        <c:majorGridlines/>
        <c:numFmt formatCode="0%" sourceLinked="0"/>
        <c:tickLblPos val="nextTo"/>
        <c:txPr>
          <a:bodyPr rot="0" vert="horz"/>
          <a:lstStyle/>
          <a:p>
            <a:pPr>
              <a:defRPr sz="1600" b="1" i="0" u="none" strike="noStrike" baseline="0">
                <a:solidFill>
                  <a:srgbClr val="000000"/>
                </a:solidFill>
                <a:latin typeface="Calibri"/>
                <a:ea typeface="Calibri"/>
                <a:cs typeface="Calibri"/>
              </a:defRPr>
            </a:pPr>
            <a:endParaRPr lang="en-US"/>
          </a:p>
        </c:txPr>
        <c:crossAx val="214099840"/>
        <c:crosses val="autoZero"/>
        <c:crossBetween val="between"/>
      </c:valAx>
      <c:spPr>
        <a:noFill/>
        <a:ln w="25400">
          <a:noFill/>
        </a:ln>
      </c:spPr>
    </c:plotArea>
    <c:plotVisOnly val="1"/>
    <c:dispBlanksAs val="gap"/>
  </c:chart>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chartsheets/sheet1.xml><?xml version="1.0" encoding="utf-8"?>
<chartsheet xmlns="http://schemas.openxmlformats.org/spreadsheetml/2006/main" xmlns:r="http://schemas.openxmlformats.org/officeDocument/2006/relationships">
  <sheetPr/>
  <sheetViews>
    <sheetView zoomScale="108" workbookViewId="0" zoomToFit="1"/>
  </sheetViews>
  <pageMargins left="0.7" right="0.7" top="0.75" bottom="0.75"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sheetViews>
    <sheetView zoomScale="108" workbookViewId="0" zoomToFit="1"/>
  </sheetViews>
  <pageMargins left="0.7" right="0.7" top="0.75" bottom="0.75" header="0.3" footer="0.3"/>
  <pageSetup orientation="landscape" r:id="rId1"/>
  <drawing r:id="rId2"/>
</chartsheet>
</file>

<file path=xl/chartsheets/sheet3.xml><?xml version="1.0" encoding="utf-8"?>
<chartsheet xmlns="http://schemas.openxmlformats.org/spreadsheetml/2006/main" xmlns:r="http://schemas.openxmlformats.org/officeDocument/2006/relationships">
  <sheetPr/>
  <sheetViews>
    <sheetView zoomScale="80" workbookViewId="0"/>
  </sheetViews>
  <pageMargins left="0.7" right="0.7" top="0.75" bottom="0.75" header="0.3" footer="0.3"/>
  <pageSetup orientation="landscape" r:id="rId1"/>
  <drawing r:id="rId2"/>
</chartsheet>
</file>

<file path=xl/chartsheets/sheet4.xml><?xml version="1.0" encoding="utf-8"?>
<chartsheet xmlns="http://schemas.openxmlformats.org/spreadsheetml/2006/main" xmlns:r="http://schemas.openxmlformats.org/officeDocument/2006/relationships">
  <sheetPr/>
  <sheetViews>
    <sheetView zoomScale="90" workbookViewId="0"/>
  </sheetViews>
  <pageMargins left="0.7" right="0.7" top="0.75" bottom="0.75" header="0.3" footer="0.3"/>
  <pageSetup orientation="landscape" r:id="rId1"/>
  <drawing r:id="rId2"/>
</chartsheet>
</file>

<file path=xl/chartsheets/sheet5.xml><?xml version="1.0" encoding="utf-8"?>
<chartsheet xmlns="http://schemas.openxmlformats.org/spreadsheetml/2006/main" xmlns:r="http://schemas.openxmlformats.org/officeDocument/2006/relationships">
  <sheetPr/>
  <sheetViews>
    <sheetView zoomScale="80" workbookViewId="0"/>
  </sheetViews>
  <pageMargins left="0.7" right="0.7" top="0.75" bottom="0.75"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sheetPr/>
  <sheetViews>
    <sheetView zoomScale="80" workbookViewId="0"/>
  </sheetViews>
  <pageMargins left="0.7" right="0.7" top="0.75" bottom="0.75" header="0.3" footer="0.3"/>
  <pageSetup orientation="landscape" r:id="rId1"/>
  <drawing r:id="rId2"/>
</chartsheet>
</file>

<file path=xl/chartsheets/sheet7.xml><?xml version="1.0" encoding="utf-8"?>
<chartsheet xmlns="http://schemas.openxmlformats.org/spreadsheetml/2006/main" xmlns:r="http://schemas.openxmlformats.org/officeDocument/2006/relationships">
  <sheetPr/>
  <sheetViews>
    <sheetView zoomScale="115" workbookViewId="0"/>
  </sheetViews>
  <pageMargins left="0.7" right="0.7" top="0.75" bottom="0.75" header="0.3" footer="0.3"/>
  <pageSetup orientation="landscape" r:id="rId1"/>
  <drawing r:id="rId2"/>
</chartsheet>
</file>

<file path=xl/chartsheets/sheet8.xml><?xml version="1.0" encoding="utf-8"?>
<chartsheet xmlns="http://schemas.openxmlformats.org/spreadsheetml/2006/main" xmlns:r="http://schemas.openxmlformats.org/officeDocument/2006/relationships">
  <sheetPr>
    <tabColor rgb="FFFF0000"/>
  </sheetPr>
  <sheetViews>
    <sheetView workbookViewId="0"/>
  </sheetViews>
  <pageMargins left="0.7" right="0.7" top="0.75" bottom="0.75" header="0.3" footer="0.3"/>
  <pageSetup orientation="landscape" r:id="rId1"/>
  <drawing r:id="rId2"/>
</chartsheet>
</file>

<file path=xl/chartsheets/sheet9.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absoluteAnchor>
    <xdr:pos x="0" y="0"/>
    <xdr:ext cx="8678333" cy="6297083"/>
    <xdr:graphicFrame macro="">
      <xdr:nvGraphicFramePr>
        <xdr:cNvPr id="2" name="Chart 1">
          <a:extLst>
            <a:ext uri="{FF2B5EF4-FFF2-40B4-BE49-F238E27FC236}">
              <a16:creationId xmlns:a16="http://schemas.microsoft.com/office/drawing/2014/main" xmlns=""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8654143" cy="6272893"/>
    <xdr:graphicFrame macro="">
      <xdr:nvGraphicFramePr>
        <xdr:cNvPr id="2" name="Chart 1">
          <a:extLst>
            <a:ext uri="{FF2B5EF4-FFF2-40B4-BE49-F238E27FC236}">
              <a16:creationId xmlns:a16="http://schemas.microsoft.com/office/drawing/2014/main" xmlns="" id="{00000000-0008-0000-0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78333"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67750" cy="6298406"/>
    <xdr:graphicFrame macro="">
      <xdr:nvGraphicFramePr>
        <xdr:cNvPr id="2" name="Chart 1">
          <a:extLst>
            <a:ext uri="{FF2B5EF4-FFF2-40B4-BE49-F238E27FC236}">
              <a16:creationId xmlns:a16="http://schemas.microsoft.com/office/drawing/2014/main" xmlns=""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0.82425</cdr:x>
      <cdr:y>0.96247</cdr:y>
    </cdr:from>
    <cdr:to>
      <cdr:x>1</cdr:x>
      <cdr:y>1</cdr:y>
    </cdr:to>
    <cdr:sp macro="" textlink="">
      <cdr:nvSpPr>
        <cdr:cNvPr id="2" name="TextBox 1"/>
        <cdr:cNvSpPr txBox="1"/>
      </cdr:nvSpPr>
      <cdr:spPr>
        <a:xfrm xmlns:a="http://schemas.openxmlformats.org/drawingml/2006/main">
          <a:off x="7147560" y="6057900"/>
          <a:ext cx="1524000" cy="236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050"/>
            <a:t>* Includes NB, NS, PEI, NL</a:t>
          </a: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8657167" cy="6286500"/>
    <xdr:graphicFrame macro="">
      <xdr:nvGraphicFramePr>
        <xdr:cNvPr id="2" name="Chart 1">
          <a:extLst>
            <a:ext uri="{FF2B5EF4-FFF2-40B4-BE49-F238E27FC236}">
              <a16:creationId xmlns:a16="http://schemas.microsoft.com/office/drawing/2014/main" xmlns=""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67750" cy="6298406"/>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8667750" cy="6298406"/>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8663609" cy="6286500"/>
    <xdr:graphicFrame macro="">
      <xdr:nvGraphicFramePr>
        <xdr:cNvPr id="2" name="Chart 1">
          <a:extLst>
            <a:ext uri="{FF2B5EF4-FFF2-40B4-BE49-F238E27FC236}">
              <a16:creationId xmlns:a16="http://schemas.microsoft.com/office/drawing/2014/main" xmlns=""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xmlns="" id="{00000000-0008-0000-0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dimension ref="A1:O362"/>
  <sheetViews>
    <sheetView view="pageBreakPreview" topLeftCell="A144" zoomScale="145" zoomScaleNormal="140" zoomScaleSheetLayoutView="145" workbookViewId="0">
      <pane xSplit="1" topLeftCell="B1" activePane="topRight" state="frozen"/>
      <selection activeCell="F8" sqref="F8"/>
      <selection pane="topRight" activeCell="L148" sqref="L148"/>
    </sheetView>
  </sheetViews>
  <sheetFormatPr defaultColWidth="8.81640625" defaultRowHeight="12.5"/>
  <cols>
    <col min="1" max="1" width="26.7265625" style="23" customWidth="1"/>
    <col min="2" max="8" width="11.7265625" style="23" customWidth="1"/>
    <col min="9" max="10" width="13.54296875" style="23" bestFit="1" customWidth="1"/>
    <col min="11" max="11" width="14.54296875" style="182" bestFit="1" customWidth="1"/>
    <col min="12" max="12" width="14.54296875" style="554" bestFit="1" customWidth="1"/>
    <col min="13" max="13" width="13.54296875" style="23" bestFit="1" customWidth="1"/>
    <col min="14" max="14" width="11.26953125" style="23" bestFit="1" customWidth="1"/>
    <col min="15" max="15" width="9.26953125" style="23" bestFit="1" customWidth="1"/>
    <col min="16" max="16384" width="8.81640625" style="23"/>
  </cols>
  <sheetData>
    <row r="1" spans="1:13" s="150" customFormat="1" ht="6" customHeight="1">
      <c r="A1" s="155"/>
      <c r="B1" s="172"/>
      <c r="C1" s="172"/>
      <c r="D1" s="172"/>
      <c r="E1" s="172"/>
      <c r="F1" s="172"/>
      <c r="G1" s="172"/>
      <c r="H1" s="157"/>
      <c r="I1" s="157"/>
      <c r="J1" s="158"/>
      <c r="K1" s="291"/>
      <c r="L1" s="482"/>
    </row>
    <row r="2" spans="1:13" ht="13">
      <c r="A2" s="126"/>
      <c r="B2" s="18" t="s">
        <v>118</v>
      </c>
      <c r="C2" s="740" t="s">
        <v>307</v>
      </c>
      <c r="D2" s="19" t="s">
        <v>308</v>
      </c>
      <c r="E2" s="740" t="s">
        <v>309</v>
      </c>
      <c r="F2" s="741" t="s">
        <v>310</v>
      </c>
      <c r="G2" s="20" t="s">
        <v>117</v>
      </c>
      <c r="H2" s="19" t="s">
        <v>116</v>
      </c>
      <c r="I2" s="21" t="s">
        <v>142</v>
      </c>
      <c r="J2" s="22" t="s">
        <v>157</v>
      </c>
      <c r="K2" s="275" t="s">
        <v>209</v>
      </c>
      <c r="L2" s="483" t="s">
        <v>220</v>
      </c>
      <c r="M2" s="275" t="s">
        <v>236</v>
      </c>
    </row>
    <row r="3" spans="1:13" ht="13">
      <c r="A3" s="178" t="s">
        <v>63</v>
      </c>
      <c r="B3" s="139" t="s">
        <v>121</v>
      </c>
      <c r="C3" s="138" t="s">
        <v>311</v>
      </c>
      <c r="D3" s="139" t="s">
        <v>312</v>
      </c>
      <c r="E3" s="138" t="s">
        <v>313</v>
      </c>
      <c r="F3" s="139" t="s">
        <v>314</v>
      </c>
      <c r="G3" s="138" t="s">
        <v>120</v>
      </c>
      <c r="H3" s="140" t="s">
        <v>119</v>
      </c>
      <c r="I3" s="141" t="s">
        <v>143</v>
      </c>
      <c r="J3" s="142" t="s">
        <v>158</v>
      </c>
      <c r="K3" s="274" t="s">
        <v>210</v>
      </c>
      <c r="L3" s="484" t="s">
        <v>221</v>
      </c>
      <c r="M3" s="274" t="s">
        <v>237</v>
      </c>
    </row>
    <row r="4" spans="1:13" ht="13">
      <c r="A4" s="92" t="s">
        <v>64</v>
      </c>
      <c r="B4" s="25"/>
      <c r="C4" s="26"/>
      <c r="D4" s="25"/>
      <c r="E4" s="26"/>
      <c r="F4" s="25"/>
      <c r="G4" s="26"/>
      <c r="H4" s="25"/>
      <c r="I4" s="27"/>
      <c r="J4" s="114"/>
      <c r="K4" s="27"/>
      <c r="L4" s="485"/>
      <c r="M4" s="27"/>
    </row>
    <row r="5" spans="1:13" ht="13">
      <c r="A5" s="65" t="s">
        <v>228</v>
      </c>
      <c r="B5" s="25"/>
      <c r="C5" s="26"/>
      <c r="D5" s="25"/>
      <c r="E5" s="26"/>
      <c r="F5" s="25"/>
      <c r="G5" s="26"/>
      <c r="H5" s="25"/>
      <c r="I5" s="27"/>
      <c r="J5" s="476"/>
      <c r="K5" s="27"/>
      <c r="L5" s="485"/>
      <c r="M5" s="694">
        <v>0</v>
      </c>
    </row>
    <row r="6" spans="1:13" ht="13">
      <c r="A6" s="65" t="s">
        <v>65</v>
      </c>
      <c r="B6" s="30">
        <v>1375747</v>
      </c>
      <c r="C6" s="29">
        <v>1292950</v>
      </c>
      <c r="D6" s="30">
        <v>1425766</v>
      </c>
      <c r="E6" s="29">
        <v>1897270</v>
      </c>
      <c r="F6" s="30">
        <v>1897212</v>
      </c>
      <c r="G6" s="29">
        <v>1497412</v>
      </c>
      <c r="H6" s="30">
        <v>1724262</v>
      </c>
      <c r="I6" s="31">
        <v>2365693</v>
      </c>
      <c r="J6" s="352">
        <v>2564083</v>
      </c>
      <c r="K6" s="276">
        <v>2654030</v>
      </c>
      <c r="L6" s="486">
        <v>2773027</v>
      </c>
      <c r="M6" s="276">
        <v>4175273</v>
      </c>
    </row>
    <row r="7" spans="1:13" ht="13">
      <c r="A7" s="65" t="s">
        <v>66</v>
      </c>
      <c r="B7" s="30">
        <v>1614077</v>
      </c>
      <c r="C7" s="29">
        <v>1687510</v>
      </c>
      <c r="D7" s="30">
        <v>1529801</v>
      </c>
      <c r="E7" s="29">
        <v>2447058</v>
      </c>
      <c r="F7" s="30">
        <v>1123944</v>
      </c>
      <c r="G7" s="29">
        <v>1000914</v>
      </c>
      <c r="H7" s="30">
        <v>1683773</v>
      </c>
      <c r="I7" s="31">
        <v>1632929</v>
      </c>
      <c r="J7" s="352">
        <v>1903560</v>
      </c>
      <c r="K7" s="276">
        <v>1834928</v>
      </c>
      <c r="L7" s="486">
        <v>2024414</v>
      </c>
      <c r="M7" s="276">
        <v>1842736</v>
      </c>
    </row>
    <row r="8" spans="1:13" ht="13">
      <c r="A8" s="65" t="s">
        <v>67</v>
      </c>
      <c r="B8" s="33">
        <v>0</v>
      </c>
      <c r="C8" s="29">
        <v>0</v>
      </c>
      <c r="D8" s="33">
        <v>0</v>
      </c>
      <c r="E8" s="29">
        <v>0</v>
      </c>
      <c r="F8" s="30">
        <v>1590050</v>
      </c>
      <c r="G8" s="29">
        <v>1584245</v>
      </c>
      <c r="H8" s="30">
        <v>1159770</v>
      </c>
      <c r="I8" s="31">
        <v>1795073</v>
      </c>
      <c r="J8" s="352">
        <v>3041141</v>
      </c>
      <c r="K8" s="276">
        <v>3182138</v>
      </c>
      <c r="L8" s="486">
        <v>3508002</v>
      </c>
      <c r="M8" s="276">
        <v>3727372</v>
      </c>
    </row>
    <row r="9" spans="1:13" ht="13">
      <c r="A9" s="65" t="s">
        <v>68</v>
      </c>
      <c r="B9" s="33">
        <f>SUM(B6:B8)</f>
        <v>2989824</v>
      </c>
      <c r="C9" s="29">
        <f t="shared" ref="C9:F9" si="0">SUM(C6:C8)</f>
        <v>2980460</v>
      </c>
      <c r="D9" s="33">
        <f t="shared" si="0"/>
        <v>2955567</v>
      </c>
      <c r="E9" s="29">
        <f t="shared" si="0"/>
        <v>4344328</v>
      </c>
      <c r="F9" s="33">
        <f t="shared" si="0"/>
        <v>4611206</v>
      </c>
      <c r="G9" s="29">
        <f t="shared" ref="G9:K9" si="1">SUM(G6:G8)</f>
        <v>4082571</v>
      </c>
      <c r="H9" s="33">
        <f t="shared" si="1"/>
        <v>4567805</v>
      </c>
      <c r="I9" s="31">
        <f t="shared" si="1"/>
        <v>5793695</v>
      </c>
      <c r="J9" s="33">
        <f t="shared" si="1"/>
        <v>7508784</v>
      </c>
      <c r="K9" s="31">
        <f t="shared" si="1"/>
        <v>7671096</v>
      </c>
      <c r="L9" s="487">
        <f>SUM(L6:L8)</f>
        <v>8305443</v>
      </c>
      <c r="M9" s="31">
        <f>SUM(M6:M8)</f>
        <v>9745381</v>
      </c>
    </row>
    <row r="10" spans="1:13" ht="13">
      <c r="A10" s="65" t="s">
        <v>69</v>
      </c>
      <c r="B10" s="30">
        <v>45013</v>
      </c>
      <c r="C10" s="29">
        <v>71984</v>
      </c>
      <c r="D10" s="742">
        <v>10980</v>
      </c>
      <c r="E10" s="29">
        <v>112416</v>
      </c>
      <c r="F10" s="30">
        <v>-612</v>
      </c>
      <c r="G10" s="29">
        <v>18961</v>
      </c>
      <c r="H10" s="255">
        <v>-53</v>
      </c>
      <c r="I10" s="31">
        <v>391</v>
      </c>
      <c r="J10" s="354">
        <v>-10786</v>
      </c>
      <c r="K10" s="276">
        <v>45440</v>
      </c>
      <c r="L10" s="488">
        <v>-2664</v>
      </c>
      <c r="M10" s="695">
        <v>-5070</v>
      </c>
    </row>
    <row r="11" spans="1:13" ht="13">
      <c r="A11" s="67" t="s">
        <v>70</v>
      </c>
      <c r="B11" s="34">
        <f>SUM(B9:B10)</f>
        <v>3034837</v>
      </c>
      <c r="C11" s="35">
        <f t="shared" ref="C11:F11" si="2">SUM(C9:C10)</f>
        <v>3052444</v>
      </c>
      <c r="D11" s="34">
        <f t="shared" si="2"/>
        <v>2966547</v>
      </c>
      <c r="E11" s="35">
        <f t="shared" si="2"/>
        <v>4456744</v>
      </c>
      <c r="F11" s="34">
        <f t="shared" si="2"/>
        <v>4610594</v>
      </c>
      <c r="G11" s="35">
        <f t="shared" ref="G11:J11" si="3">SUM(G9:G10)</f>
        <v>4101532</v>
      </c>
      <c r="H11" s="34">
        <f t="shared" si="3"/>
        <v>4567752</v>
      </c>
      <c r="I11" s="36">
        <f t="shared" si="3"/>
        <v>5794086</v>
      </c>
      <c r="J11" s="34">
        <f t="shared" si="3"/>
        <v>7497998</v>
      </c>
      <c r="K11" s="36">
        <f>SUM(K9:K10)</f>
        <v>7716536</v>
      </c>
      <c r="L11" s="489">
        <f>SUM(L9:L10)</f>
        <v>8302779</v>
      </c>
      <c r="M11" s="36">
        <f>SUM(M9:M10)</f>
        <v>9740311</v>
      </c>
    </row>
    <row r="12" spans="1:13" s="16" customFormat="1" ht="10.9" customHeight="1">
      <c r="A12" s="148" t="s">
        <v>155</v>
      </c>
      <c r="B12" s="38"/>
      <c r="C12" s="38">
        <f t="shared" ref="C12:F12" si="4">(C11-B11)/B11</f>
        <v>5.8016295438601808E-3</v>
      </c>
      <c r="D12" s="38">
        <f t="shared" si="4"/>
        <v>-2.8140401592953057E-2</v>
      </c>
      <c r="E12" s="38">
        <f t="shared" si="4"/>
        <v>0.50233385818596499</v>
      </c>
      <c r="F12" s="38">
        <f t="shared" si="4"/>
        <v>3.4520717366759233E-2</v>
      </c>
      <c r="G12" s="38">
        <f>(G11-F11)/F11</f>
        <v>-0.11041136998833556</v>
      </c>
      <c r="H12" s="38">
        <f t="shared" ref="H12:I12" si="5">(H11-G11)/G11</f>
        <v>0.11366972146017634</v>
      </c>
      <c r="I12" s="38">
        <f t="shared" si="5"/>
        <v>0.26847648471283031</v>
      </c>
      <c r="J12" s="38">
        <f>(J11-I11)/I11</f>
        <v>0.29407778897310122</v>
      </c>
      <c r="K12" s="38">
        <f>(K11-J11)/J11</f>
        <v>2.9146180087004557E-2</v>
      </c>
      <c r="L12" s="148">
        <f>(L11-K11)/K11</f>
        <v>7.5972301561218661E-2</v>
      </c>
      <c r="M12" s="38">
        <f>(M11-L11)/L11</f>
        <v>0.17313865634626671</v>
      </c>
    </row>
    <row r="13" spans="1:13" ht="13">
      <c r="A13" s="92" t="s">
        <v>71</v>
      </c>
      <c r="B13" s="25"/>
      <c r="C13" s="24"/>
      <c r="D13" s="25"/>
      <c r="E13" s="24"/>
      <c r="F13" s="39"/>
      <c r="G13" s="24"/>
      <c r="H13" s="39"/>
      <c r="I13" s="40"/>
      <c r="J13" s="28"/>
      <c r="K13" s="277"/>
      <c r="L13" s="490"/>
      <c r="M13" s="277"/>
    </row>
    <row r="14" spans="1:13" ht="13">
      <c r="A14" s="65" t="s">
        <v>72</v>
      </c>
      <c r="B14" s="30">
        <v>1879610</v>
      </c>
      <c r="C14" s="29">
        <v>1521894</v>
      </c>
      <c r="D14" s="30">
        <v>2374353</v>
      </c>
      <c r="E14" s="29">
        <v>1817060</v>
      </c>
      <c r="F14" s="30">
        <v>1892382</v>
      </c>
      <c r="G14" s="29">
        <v>2358481</v>
      </c>
      <c r="H14" s="30">
        <v>2157436</v>
      </c>
      <c r="I14" s="31">
        <v>1866242</v>
      </c>
      <c r="J14" s="32">
        <v>1894288</v>
      </c>
      <c r="K14" s="276">
        <v>2190416</v>
      </c>
      <c r="L14" s="486">
        <v>2102566</v>
      </c>
      <c r="M14" s="276">
        <v>1758592</v>
      </c>
    </row>
    <row r="15" spans="1:13" ht="13">
      <c r="A15" s="65" t="s">
        <v>73</v>
      </c>
      <c r="B15" s="30">
        <v>465741</v>
      </c>
      <c r="C15" s="29">
        <v>521905</v>
      </c>
      <c r="D15" s="30">
        <v>508247</v>
      </c>
      <c r="E15" s="29">
        <v>544959</v>
      </c>
      <c r="F15" s="30">
        <v>548889</v>
      </c>
      <c r="G15" s="29">
        <v>494979</v>
      </c>
      <c r="H15" s="30">
        <v>536014</v>
      </c>
      <c r="I15" s="31">
        <v>508805</v>
      </c>
      <c r="J15" s="32">
        <v>570842</v>
      </c>
      <c r="K15" s="276">
        <v>438289</v>
      </c>
      <c r="L15" s="486">
        <v>575192</v>
      </c>
      <c r="M15" s="276">
        <v>422830</v>
      </c>
    </row>
    <row r="16" spans="1:13" ht="13">
      <c r="A16" s="65" t="s">
        <v>74</v>
      </c>
      <c r="B16" s="30">
        <v>465745</v>
      </c>
      <c r="C16" s="29">
        <v>491505</v>
      </c>
      <c r="D16" s="30">
        <v>399348</v>
      </c>
      <c r="E16" s="29">
        <v>429645</v>
      </c>
      <c r="F16" s="30">
        <v>286830</v>
      </c>
      <c r="G16" s="29">
        <v>360533</v>
      </c>
      <c r="H16" s="30">
        <v>403639</v>
      </c>
      <c r="I16" s="31">
        <v>425491</v>
      </c>
      <c r="J16" s="32">
        <v>491895</v>
      </c>
      <c r="K16" s="276">
        <v>546073</v>
      </c>
      <c r="L16" s="486">
        <v>379458</v>
      </c>
      <c r="M16" s="276">
        <v>474359</v>
      </c>
    </row>
    <row r="17" spans="1:13" ht="13">
      <c r="A17" s="65" t="s">
        <v>75</v>
      </c>
      <c r="B17" s="30">
        <v>121368</v>
      </c>
      <c r="C17" s="29">
        <v>188094</v>
      </c>
      <c r="D17" s="30">
        <v>108205</v>
      </c>
      <c r="E17" s="29">
        <v>180094</v>
      </c>
      <c r="F17" s="30">
        <v>118367</v>
      </c>
      <c r="G17" s="29">
        <v>123072</v>
      </c>
      <c r="H17" s="30">
        <v>136653</v>
      </c>
      <c r="I17" s="31">
        <v>147891</v>
      </c>
      <c r="J17" s="32">
        <v>149883</v>
      </c>
      <c r="K17" s="276">
        <v>196085</v>
      </c>
      <c r="L17" s="486">
        <v>159475</v>
      </c>
      <c r="M17" s="276">
        <v>130684</v>
      </c>
    </row>
    <row r="18" spans="1:13" ht="13">
      <c r="A18" s="65" t="s">
        <v>76</v>
      </c>
      <c r="B18" s="30">
        <v>3847157</v>
      </c>
      <c r="C18" s="29">
        <v>3823669</v>
      </c>
      <c r="D18" s="30">
        <v>4463818</v>
      </c>
      <c r="E18" s="29">
        <v>3955284</v>
      </c>
      <c r="F18" s="30">
        <v>3950192</v>
      </c>
      <c r="G18" s="29">
        <v>4416223</v>
      </c>
      <c r="H18" s="30">
        <v>4702938</v>
      </c>
      <c r="I18" s="31">
        <v>5861014</v>
      </c>
      <c r="J18" s="32">
        <v>4923580</v>
      </c>
      <c r="K18" s="276">
        <v>4676855</v>
      </c>
      <c r="L18" s="486">
        <v>6033837</v>
      </c>
      <c r="M18" s="276">
        <v>5335325</v>
      </c>
    </row>
    <row r="19" spans="1:13" ht="13">
      <c r="A19" s="65" t="s">
        <v>77</v>
      </c>
      <c r="B19" s="30">
        <v>652</v>
      </c>
      <c r="C19" s="29">
        <v>580</v>
      </c>
      <c r="D19" s="30">
        <v>6282</v>
      </c>
      <c r="E19" s="29">
        <v>7599</v>
      </c>
      <c r="F19" s="30">
        <v>900</v>
      </c>
      <c r="G19" s="29">
        <v>1304</v>
      </c>
      <c r="H19" s="30">
        <v>569</v>
      </c>
      <c r="I19" s="31">
        <v>9169</v>
      </c>
      <c r="J19" s="32">
        <v>27308</v>
      </c>
      <c r="K19" s="278">
        <v>131</v>
      </c>
      <c r="L19" s="491">
        <v>217</v>
      </c>
      <c r="M19" s="278">
        <v>196</v>
      </c>
    </row>
    <row r="20" spans="1:13" ht="13">
      <c r="A20" s="67" t="s">
        <v>78</v>
      </c>
      <c r="B20" s="34">
        <f>SUM(B14:B19)</f>
        <v>6780273</v>
      </c>
      <c r="C20" s="35">
        <f t="shared" ref="C20:F20" si="6">SUM(C14:C19)</f>
        <v>6547647</v>
      </c>
      <c r="D20" s="34">
        <f t="shared" si="6"/>
        <v>7860253</v>
      </c>
      <c r="E20" s="35">
        <f t="shared" si="6"/>
        <v>6934641</v>
      </c>
      <c r="F20" s="34">
        <f t="shared" si="6"/>
        <v>6797560</v>
      </c>
      <c r="G20" s="35">
        <f t="shared" ref="G20:K20" si="7">SUM(G14:G19)</f>
        <v>7754592</v>
      </c>
      <c r="H20" s="34">
        <f t="shared" si="7"/>
        <v>7937249</v>
      </c>
      <c r="I20" s="36">
        <f t="shared" si="7"/>
        <v>8818612</v>
      </c>
      <c r="J20" s="37">
        <f t="shared" si="7"/>
        <v>8057796</v>
      </c>
      <c r="K20" s="36">
        <f t="shared" si="7"/>
        <v>8047849</v>
      </c>
      <c r="L20" s="489">
        <f t="shared" ref="L20:M20" si="8">SUM(L14:L19)</f>
        <v>9250745</v>
      </c>
      <c r="M20" s="36">
        <f t="shared" si="8"/>
        <v>8121986</v>
      </c>
    </row>
    <row r="21" spans="1:13" ht="10.9" customHeight="1">
      <c r="A21" s="148" t="s">
        <v>155</v>
      </c>
      <c r="B21" s="38"/>
      <c r="C21" s="38">
        <f t="shared" ref="C21:F21" si="9">(C20-B20)/B20</f>
        <v>-3.4309237990859658E-2</v>
      </c>
      <c r="D21" s="38">
        <f t="shared" si="9"/>
        <v>0.20046987872131775</v>
      </c>
      <c r="E21" s="38">
        <f t="shared" si="9"/>
        <v>-0.11775855051993873</v>
      </c>
      <c r="F21" s="38">
        <f t="shared" si="9"/>
        <v>-1.9767569799215273E-2</v>
      </c>
      <c r="G21" s="38">
        <f>(G20-F20)/F20</f>
        <v>0.14079051895091768</v>
      </c>
      <c r="H21" s="38">
        <f t="shared" ref="H21:M21" si="10">(H20-G20)/G20</f>
        <v>2.3554688628363685E-2</v>
      </c>
      <c r="I21" s="38">
        <f t="shared" si="10"/>
        <v>0.11104136962315281</v>
      </c>
      <c r="J21" s="38">
        <f t="shared" si="10"/>
        <v>-8.6273894349813779E-2</v>
      </c>
      <c r="K21" s="38">
        <f t="shared" si="10"/>
        <v>-1.2344566678034539E-3</v>
      </c>
      <c r="L21" s="148">
        <f t="shared" si="10"/>
        <v>0.14946801312996802</v>
      </c>
      <c r="M21" s="38">
        <f t="shared" si="10"/>
        <v>-0.1220181725904238</v>
      </c>
    </row>
    <row r="22" spans="1:13" ht="13">
      <c r="A22" s="180" t="s">
        <v>79</v>
      </c>
      <c r="B22" s="30">
        <v>1101524</v>
      </c>
      <c r="C22" s="29">
        <v>979018</v>
      </c>
      <c r="D22" s="30">
        <v>929635</v>
      </c>
      <c r="E22" s="29">
        <v>1100631</v>
      </c>
      <c r="F22" s="33">
        <v>889120</v>
      </c>
      <c r="G22" s="29">
        <v>1027319</v>
      </c>
      <c r="H22" s="30">
        <v>1493857</v>
      </c>
      <c r="I22" s="41">
        <v>1508706</v>
      </c>
      <c r="J22" s="353">
        <v>1633356</v>
      </c>
      <c r="K22" s="279">
        <v>1751830</v>
      </c>
      <c r="L22" s="492">
        <f>75624+1909554+7526</f>
        <v>1992704</v>
      </c>
      <c r="M22" s="279">
        <v>1276794</v>
      </c>
    </row>
    <row r="23" spans="1:13" ht="13">
      <c r="A23" s="67" t="s">
        <v>80</v>
      </c>
      <c r="B23" s="34">
        <f>SUM(B20:B22)</f>
        <v>7881797</v>
      </c>
      <c r="C23" s="35">
        <f t="shared" ref="C23:F23" si="11">SUM(C20:C22)</f>
        <v>7526664.9656907618</v>
      </c>
      <c r="D23" s="34">
        <f t="shared" si="11"/>
        <v>8789888.2004698776</v>
      </c>
      <c r="E23" s="35">
        <f t="shared" si="11"/>
        <v>8035271.8822414493</v>
      </c>
      <c r="F23" s="34">
        <f t="shared" si="11"/>
        <v>7686679.9802324306</v>
      </c>
      <c r="G23" s="35">
        <f t="shared" ref="G23:J23" si="12">SUM(G20:G22)</f>
        <v>8781911.1407905184</v>
      </c>
      <c r="H23" s="34">
        <f t="shared" si="12"/>
        <v>9431106.0235546883</v>
      </c>
      <c r="I23" s="36">
        <f t="shared" si="12"/>
        <v>10327318.111041369</v>
      </c>
      <c r="J23" s="34">
        <f t="shared" si="12"/>
        <v>9691151.9137261063</v>
      </c>
      <c r="K23" s="36">
        <f t="shared" ref="K23:L23" si="13">SUM(K20+K22)</f>
        <v>9799679</v>
      </c>
      <c r="L23" s="489">
        <f t="shared" si="13"/>
        <v>11243449</v>
      </c>
      <c r="M23" s="36">
        <f t="shared" ref="M23" si="14">SUM(M20+M22)</f>
        <v>9398780</v>
      </c>
    </row>
    <row r="24" spans="1:13" ht="10.9" customHeight="1">
      <c r="A24" s="148" t="s">
        <v>155</v>
      </c>
      <c r="B24" s="38"/>
      <c r="C24" s="38">
        <f t="shared" ref="C24:G24" si="15">(C23-B23)/B23</f>
        <v>-4.5057241934705776E-2</v>
      </c>
      <c r="D24" s="38">
        <f t="shared" si="15"/>
        <v>0.16783306292193692</v>
      </c>
      <c r="E24" s="38">
        <f t="shared" si="15"/>
        <v>-8.585050242027982E-2</v>
      </c>
      <c r="F24" s="38">
        <f t="shared" si="15"/>
        <v>-4.3382714003670844E-2</v>
      </c>
      <c r="G24" s="38">
        <f t="shared" si="15"/>
        <v>0.14248429274727917</v>
      </c>
      <c r="H24" s="38">
        <f t="shared" ref="H24:M24" si="16">(H23-G23)/G23</f>
        <v>7.3924100615043523E-2</v>
      </c>
      <c r="I24" s="38">
        <f t="shared" si="16"/>
        <v>9.5027251867208715E-2</v>
      </c>
      <c r="J24" s="38">
        <f t="shared" si="16"/>
        <v>-6.1600329386107579E-2</v>
      </c>
      <c r="K24" s="38">
        <f t="shared" si="16"/>
        <v>1.1198574456374054E-2</v>
      </c>
      <c r="L24" s="148">
        <f t="shared" si="16"/>
        <v>0.14732829514109594</v>
      </c>
      <c r="M24" s="38">
        <f t="shared" si="16"/>
        <v>-0.1640661152996736</v>
      </c>
    </row>
    <row r="25" spans="1:13" ht="13">
      <c r="A25" s="65" t="s">
        <v>58</v>
      </c>
      <c r="B25" s="30">
        <v>-56600</v>
      </c>
      <c r="C25" s="29">
        <v>-64882</v>
      </c>
      <c r="D25" s="30">
        <v>-5992</v>
      </c>
      <c r="E25" s="29">
        <v>-2047</v>
      </c>
      <c r="F25" s="30">
        <v>86399</v>
      </c>
      <c r="G25" s="366">
        <v>-10415</v>
      </c>
      <c r="H25" s="30">
        <v>553</v>
      </c>
      <c r="I25" s="31">
        <v>1097</v>
      </c>
      <c r="J25" s="33">
        <v>15913</v>
      </c>
      <c r="K25" s="283">
        <v>16078</v>
      </c>
      <c r="L25" s="493">
        <v>-49800</v>
      </c>
      <c r="M25" s="696">
        <v>69478</v>
      </c>
    </row>
    <row r="26" spans="1:13" ht="13">
      <c r="A26" s="92" t="s">
        <v>81</v>
      </c>
      <c r="B26" s="25"/>
      <c r="C26" s="26"/>
      <c r="D26" s="39"/>
      <c r="E26" s="24"/>
      <c r="F26" s="39"/>
      <c r="G26" s="24"/>
      <c r="H26" s="39"/>
      <c r="I26" s="40"/>
      <c r="J26" s="114"/>
      <c r="K26" s="280"/>
      <c r="L26" s="494"/>
      <c r="M26" s="280"/>
    </row>
    <row r="27" spans="1:13" ht="13">
      <c r="A27" s="65" t="s">
        <v>28</v>
      </c>
      <c r="B27" s="30">
        <v>255688</v>
      </c>
      <c r="C27" s="29">
        <v>291215</v>
      </c>
      <c r="D27" s="30">
        <v>252654</v>
      </c>
      <c r="E27" s="29">
        <v>239565</v>
      </c>
      <c r="F27" s="30">
        <v>256366</v>
      </c>
      <c r="G27" s="29">
        <v>257148</v>
      </c>
      <c r="H27" s="30">
        <v>263163</v>
      </c>
      <c r="I27" s="31">
        <v>270536</v>
      </c>
      <c r="J27" s="33">
        <v>258102</v>
      </c>
      <c r="K27" s="281">
        <v>268600</v>
      </c>
      <c r="L27" s="495">
        <v>288629</v>
      </c>
      <c r="M27" s="281">
        <v>284632</v>
      </c>
    </row>
    <row r="28" spans="1:13" ht="13">
      <c r="A28" s="65" t="s">
        <v>178</v>
      </c>
      <c r="B28" s="30">
        <v>1763056</v>
      </c>
      <c r="C28" s="29">
        <v>1944473</v>
      </c>
      <c r="D28" s="30">
        <v>1904391</v>
      </c>
      <c r="E28" s="29">
        <v>1771405</v>
      </c>
      <c r="F28" s="30">
        <v>1918338</v>
      </c>
      <c r="G28" s="29">
        <v>1810461</v>
      </c>
      <c r="H28" s="30">
        <v>1796266</v>
      </c>
      <c r="I28" s="31">
        <v>1714996</v>
      </c>
      <c r="J28" s="33">
        <v>1933173</v>
      </c>
      <c r="K28" s="276">
        <v>2001564</v>
      </c>
      <c r="L28" s="486">
        <v>1994805</v>
      </c>
      <c r="M28" s="276">
        <v>2092722</v>
      </c>
    </row>
    <row r="29" spans="1:13" ht="13">
      <c r="A29" s="65" t="s">
        <v>82</v>
      </c>
      <c r="B29" s="30">
        <v>344950</v>
      </c>
      <c r="C29" s="29">
        <v>395024</v>
      </c>
      <c r="D29" s="30">
        <v>237789</v>
      </c>
      <c r="E29" s="29">
        <v>315978</v>
      </c>
      <c r="F29" s="30">
        <v>363066</v>
      </c>
      <c r="G29" s="29">
        <v>354900</v>
      </c>
      <c r="H29" s="30">
        <v>387283</v>
      </c>
      <c r="I29" s="31">
        <v>344453</v>
      </c>
      <c r="J29" s="33">
        <v>351832</v>
      </c>
      <c r="K29" s="282">
        <f>200710+165706</f>
        <v>366416</v>
      </c>
      <c r="L29" s="496">
        <f>99638+191567</f>
        <v>291205</v>
      </c>
      <c r="M29" s="697">
        <v>421570</v>
      </c>
    </row>
    <row r="30" spans="1:13" ht="13">
      <c r="A30" s="65" t="s">
        <v>83</v>
      </c>
      <c r="B30" s="30">
        <v>20065</v>
      </c>
      <c r="C30" s="29">
        <v>19464</v>
      </c>
      <c r="D30" s="30">
        <v>19114</v>
      </c>
      <c r="E30" s="29">
        <v>18866</v>
      </c>
      <c r="F30" s="30">
        <v>16536</v>
      </c>
      <c r="G30" s="29">
        <v>16293</v>
      </c>
      <c r="H30" s="30">
        <v>14760</v>
      </c>
      <c r="I30" s="31">
        <v>35741</v>
      </c>
      <c r="J30" s="33">
        <v>74304</v>
      </c>
      <c r="K30" s="276">
        <v>112802</v>
      </c>
      <c r="L30" s="486">
        <v>139874</v>
      </c>
      <c r="M30" s="276">
        <v>54903</v>
      </c>
    </row>
    <row r="31" spans="1:13" ht="13">
      <c r="A31" s="67" t="s">
        <v>84</v>
      </c>
      <c r="B31" s="34">
        <f>SUM(B27:B30)</f>
        <v>2383759</v>
      </c>
      <c r="C31" s="35">
        <f t="shared" ref="C31:F31" si="17">SUM(C27:C30)</f>
        <v>2650176</v>
      </c>
      <c r="D31" s="34">
        <f t="shared" si="17"/>
        <v>2413948</v>
      </c>
      <c r="E31" s="35">
        <f t="shared" si="17"/>
        <v>2345814</v>
      </c>
      <c r="F31" s="34">
        <f t="shared" si="17"/>
        <v>2554306</v>
      </c>
      <c r="G31" s="35">
        <f t="shared" ref="G31:J31" si="18">SUM(G27:G30)</f>
        <v>2438802</v>
      </c>
      <c r="H31" s="34">
        <f t="shared" si="18"/>
        <v>2461472</v>
      </c>
      <c r="I31" s="36">
        <f t="shared" si="18"/>
        <v>2365726</v>
      </c>
      <c r="J31" s="34">
        <f t="shared" si="18"/>
        <v>2617411</v>
      </c>
      <c r="K31" s="36">
        <f>SUM(K27:K30)</f>
        <v>2749382</v>
      </c>
      <c r="L31" s="489">
        <f>SUM(L27:L30)</f>
        <v>2714513</v>
      </c>
      <c r="M31" s="36">
        <f>SUM(M27:M30)</f>
        <v>2853827</v>
      </c>
    </row>
    <row r="32" spans="1:13" ht="10.9" customHeight="1">
      <c r="A32" s="148" t="s">
        <v>155</v>
      </c>
      <c r="B32" s="38"/>
      <c r="C32" s="38">
        <f t="shared" ref="C32:G32" si="19">(C31-B31)/B31</f>
        <v>0.11176339554459994</v>
      </c>
      <c r="D32" s="38">
        <f t="shared" si="19"/>
        <v>-8.913672148566737E-2</v>
      </c>
      <c r="E32" s="38">
        <f t="shared" si="19"/>
        <v>-2.8225131610125818E-2</v>
      </c>
      <c r="F32" s="38">
        <f t="shared" si="19"/>
        <v>8.8878316865702051E-2</v>
      </c>
      <c r="G32" s="38">
        <f t="shared" si="19"/>
        <v>-4.5219327676480424E-2</v>
      </c>
      <c r="H32" s="38">
        <f t="shared" ref="H32:M32" si="20">(H31-G31)/G31</f>
        <v>9.2955475680272532E-3</v>
      </c>
      <c r="I32" s="38">
        <f t="shared" si="20"/>
        <v>-3.8897862742294044E-2</v>
      </c>
      <c r="J32" s="38">
        <f t="shared" si="20"/>
        <v>0.10638806015574077</v>
      </c>
      <c r="K32" s="38">
        <f t="shared" si="20"/>
        <v>5.042043454390617E-2</v>
      </c>
      <c r="L32" s="148">
        <f t="shared" si="20"/>
        <v>-1.2682486464230871E-2</v>
      </c>
      <c r="M32" s="38">
        <f t="shared" si="20"/>
        <v>5.1321912991391092E-2</v>
      </c>
    </row>
    <row r="33" spans="1:14" ht="13">
      <c r="A33" s="65" t="s">
        <v>85</v>
      </c>
      <c r="B33" s="30">
        <v>68356</v>
      </c>
      <c r="C33" s="29">
        <v>54630</v>
      </c>
      <c r="D33" s="33">
        <v>47103</v>
      </c>
      <c r="E33" s="29">
        <v>51003</v>
      </c>
      <c r="F33" s="33">
        <v>47467</v>
      </c>
      <c r="G33" s="29">
        <v>58240</v>
      </c>
      <c r="H33" s="30">
        <v>55617</v>
      </c>
      <c r="I33" s="31">
        <v>53581</v>
      </c>
      <c r="J33" s="33">
        <v>55952</v>
      </c>
      <c r="K33" s="283">
        <v>48074</v>
      </c>
      <c r="L33" s="497">
        <v>43821</v>
      </c>
      <c r="M33" s="283">
        <v>45269</v>
      </c>
    </row>
    <row r="34" spans="1:14" ht="13">
      <c r="A34" s="65" t="s">
        <v>86</v>
      </c>
      <c r="B34" s="30">
        <v>620860</v>
      </c>
      <c r="C34" s="29">
        <v>482785</v>
      </c>
      <c r="D34" s="33">
        <v>645448</v>
      </c>
      <c r="E34" s="29">
        <v>586170</v>
      </c>
      <c r="F34" s="33">
        <v>695166</v>
      </c>
      <c r="G34" s="29">
        <v>759941</v>
      </c>
      <c r="H34" s="30">
        <v>766277</v>
      </c>
      <c r="I34" s="31">
        <v>888527</v>
      </c>
      <c r="J34" s="33">
        <v>1135319</v>
      </c>
      <c r="K34" s="284">
        <f>868959+176526</f>
        <v>1045485</v>
      </c>
      <c r="L34" s="498">
        <f>952697+175022</f>
        <v>1127719</v>
      </c>
      <c r="M34" s="698">
        <v>1132995</v>
      </c>
      <c r="N34" s="444"/>
    </row>
    <row r="35" spans="1:14" ht="13">
      <c r="A35" s="64" t="s">
        <v>87</v>
      </c>
      <c r="B35" s="34">
        <f>SUM(B33:B34)</f>
        <v>689216</v>
      </c>
      <c r="C35" s="35">
        <f t="shared" ref="C35:F35" si="21">SUM(C33:C34)</f>
        <v>537415</v>
      </c>
      <c r="D35" s="34">
        <f t="shared" si="21"/>
        <v>692551</v>
      </c>
      <c r="E35" s="35">
        <f t="shared" si="21"/>
        <v>637173</v>
      </c>
      <c r="F35" s="34">
        <f t="shared" si="21"/>
        <v>742633</v>
      </c>
      <c r="G35" s="35">
        <f t="shared" ref="G35:J35" si="22">SUM(G33:G34)</f>
        <v>818181</v>
      </c>
      <c r="H35" s="34">
        <f t="shared" si="22"/>
        <v>821894</v>
      </c>
      <c r="I35" s="36">
        <f t="shared" si="22"/>
        <v>942108</v>
      </c>
      <c r="J35" s="34">
        <f t="shared" si="22"/>
        <v>1191271</v>
      </c>
      <c r="K35" s="36">
        <f>SUM(K33:K34)</f>
        <v>1093559</v>
      </c>
      <c r="L35" s="489">
        <f>SUM(L33:L34)</f>
        <v>1171540</v>
      </c>
      <c r="M35" s="36">
        <f>SUM(M33:M34)</f>
        <v>1178264</v>
      </c>
    </row>
    <row r="36" spans="1:14" ht="10.9" customHeight="1">
      <c r="A36" s="148" t="s">
        <v>155</v>
      </c>
      <c r="B36" s="38"/>
      <c r="C36" s="38">
        <f t="shared" ref="C36:G36" si="23">(C35-B35)/B35</f>
        <v>-0.22025170628656329</v>
      </c>
      <c r="D36" s="38">
        <f t="shared" si="23"/>
        <v>0.28867076653982493</v>
      </c>
      <c r="E36" s="38">
        <f t="shared" si="23"/>
        <v>-7.9962342123540364E-2</v>
      </c>
      <c r="F36" s="38">
        <f t="shared" si="23"/>
        <v>0.16551234907944937</v>
      </c>
      <c r="G36" s="38">
        <f t="shared" si="23"/>
        <v>0.10172992581800162</v>
      </c>
      <c r="H36" s="38">
        <f t="shared" ref="H36:M36" si="24">(H35-G35)/G35</f>
        <v>4.5381156492267606E-3</v>
      </c>
      <c r="I36" s="38">
        <f t="shared" si="24"/>
        <v>0.14626460346468037</v>
      </c>
      <c r="J36" s="38">
        <f t="shared" si="24"/>
        <v>0.26447392443329215</v>
      </c>
      <c r="K36" s="38">
        <f t="shared" si="24"/>
        <v>-8.2023317952002531E-2</v>
      </c>
      <c r="L36" s="148">
        <f t="shared" si="24"/>
        <v>7.1309366938592245E-2</v>
      </c>
      <c r="M36" s="38">
        <f t="shared" si="24"/>
        <v>5.7394540519316454E-3</v>
      </c>
    </row>
    <row r="37" spans="1:14" ht="13">
      <c r="A37" s="67" t="s">
        <v>26</v>
      </c>
      <c r="B37" s="34">
        <f>SUM(B35,B31)</f>
        <v>3072975</v>
      </c>
      <c r="C37" s="35">
        <f t="shared" ref="C37:F37" si="25">SUM(C35,C31)</f>
        <v>3187591</v>
      </c>
      <c r="D37" s="34">
        <f t="shared" si="25"/>
        <v>3106499</v>
      </c>
      <c r="E37" s="35">
        <f t="shared" si="25"/>
        <v>2982987</v>
      </c>
      <c r="F37" s="34">
        <f t="shared" si="25"/>
        <v>3296939</v>
      </c>
      <c r="G37" s="36">
        <f t="shared" ref="G37:J37" si="26">SUM(G35,G31)</f>
        <v>3256983</v>
      </c>
      <c r="H37" s="34">
        <f t="shared" si="26"/>
        <v>3283366</v>
      </c>
      <c r="I37" s="36">
        <f t="shared" si="26"/>
        <v>3307834</v>
      </c>
      <c r="J37" s="34">
        <f t="shared" si="26"/>
        <v>3808682</v>
      </c>
      <c r="K37" s="36">
        <f>SUM(K35,K31)</f>
        <v>3842941</v>
      </c>
      <c r="L37" s="489">
        <f>SUM(L35,L31)</f>
        <v>3886053</v>
      </c>
      <c r="M37" s="36">
        <f>SUM(M35,M31)</f>
        <v>4032091</v>
      </c>
    </row>
    <row r="38" spans="1:14" ht="13">
      <c r="A38" s="65" t="s">
        <v>60</v>
      </c>
      <c r="B38" s="30">
        <v>24865</v>
      </c>
      <c r="C38" s="29">
        <v>-67983</v>
      </c>
      <c r="D38" s="33">
        <v>48875</v>
      </c>
      <c r="E38" s="29">
        <v>99859</v>
      </c>
      <c r="F38" s="33">
        <v>124549</v>
      </c>
      <c r="G38" s="31">
        <v>242983</v>
      </c>
      <c r="H38" s="30">
        <v>178650</v>
      </c>
      <c r="I38" s="31">
        <v>193068</v>
      </c>
      <c r="J38" s="33">
        <v>118776</v>
      </c>
      <c r="K38" s="285">
        <v>717</v>
      </c>
      <c r="L38" s="498">
        <v>19949</v>
      </c>
      <c r="M38" s="284">
        <v>205473</v>
      </c>
    </row>
    <row r="39" spans="1:14" ht="13">
      <c r="A39" s="67" t="s">
        <v>88</v>
      </c>
      <c r="B39" s="34">
        <f t="shared" ref="B39:K39" si="27">SUM(B37:B38)</f>
        <v>3097840</v>
      </c>
      <c r="C39" s="35">
        <f t="shared" si="27"/>
        <v>3119608</v>
      </c>
      <c r="D39" s="34">
        <f t="shared" si="27"/>
        <v>3155374</v>
      </c>
      <c r="E39" s="35">
        <f t="shared" si="27"/>
        <v>3082846</v>
      </c>
      <c r="F39" s="34">
        <f t="shared" si="27"/>
        <v>3421488</v>
      </c>
      <c r="G39" s="36">
        <f t="shared" si="27"/>
        <v>3499966</v>
      </c>
      <c r="H39" s="34">
        <f t="shared" si="27"/>
        <v>3462016</v>
      </c>
      <c r="I39" s="36">
        <f t="shared" si="27"/>
        <v>3500902</v>
      </c>
      <c r="J39" s="34">
        <f t="shared" si="27"/>
        <v>3927458</v>
      </c>
      <c r="K39" s="36">
        <f t="shared" si="27"/>
        <v>3843658</v>
      </c>
      <c r="L39" s="489">
        <f t="shared" ref="L39:M39" si="28">SUM(L37:L38)</f>
        <v>3906002</v>
      </c>
      <c r="M39" s="36">
        <f t="shared" si="28"/>
        <v>4237564</v>
      </c>
    </row>
    <row r="40" spans="1:14" ht="11.5" customHeight="1">
      <c r="A40" s="148" t="s">
        <v>155</v>
      </c>
      <c r="B40" s="38"/>
      <c r="C40" s="38">
        <f t="shared" ref="C40:G40" si="29">(C39-B39)/B39</f>
        <v>7.0268315987914156E-3</v>
      </c>
      <c r="D40" s="38">
        <f t="shared" si="29"/>
        <v>1.1464902000507756E-2</v>
      </c>
      <c r="E40" s="38">
        <f t="shared" si="29"/>
        <v>-2.2985547830463204E-2</v>
      </c>
      <c r="F40" s="38">
        <f t="shared" si="29"/>
        <v>0.10984719963306633</v>
      </c>
      <c r="G40" s="38">
        <f t="shared" si="29"/>
        <v>2.2936804103945416E-2</v>
      </c>
      <c r="H40" s="38">
        <f t="shared" ref="H40:M40" si="30">(H39-G39)/G39</f>
        <v>-1.084296247449261E-2</v>
      </c>
      <c r="I40" s="38">
        <f t="shared" si="30"/>
        <v>1.1232183791178319E-2</v>
      </c>
      <c r="J40" s="38">
        <f t="shared" si="30"/>
        <v>0.12184174249950441</v>
      </c>
      <c r="K40" s="38">
        <f t="shared" si="30"/>
        <v>-2.1336956372289658E-2</v>
      </c>
      <c r="L40" s="148">
        <f t="shared" si="30"/>
        <v>1.6219965459986295E-2</v>
      </c>
      <c r="M40" s="38">
        <f t="shared" si="30"/>
        <v>8.4885261195462774E-2</v>
      </c>
    </row>
    <row r="41" spans="1:14" ht="13">
      <c r="A41" s="92" t="s">
        <v>89</v>
      </c>
      <c r="B41" s="25"/>
      <c r="C41" s="26"/>
      <c r="D41" s="25"/>
      <c r="E41" s="24"/>
      <c r="F41" s="39"/>
      <c r="G41" s="24"/>
      <c r="H41" s="39"/>
      <c r="I41" s="40"/>
      <c r="J41" s="114"/>
      <c r="K41" s="277"/>
      <c r="L41" s="490"/>
      <c r="M41" s="277"/>
    </row>
    <row r="42" spans="1:14" ht="13">
      <c r="A42" s="65" t="s">
        <v>228</v>
      </c>
      <c r="B42" s="25"/>
      <c r="C42" s="26"/>
      <c r="D42" s="25"/>
      <c r="E42" s="24"/>
      <c r="F42" s="39"/>
      <c r="G42" s="24"/>
      <c r="H42" s="39"/>
      <c r="I42" s="40"/>
      <c r="J42" s="114"/>
      <c r="K42" s="277"/>
      <c r="L42" s="499">
        <v>195</v>
      </c>
      <c r="M42" s="699">
        <v>0</v>
      </c>
    </row>
    <row r="43" spans="1:14" ht="13">
      <c r="A43" s="65" t="s">
        <v>65</v>
      </c>
      <c r="B43" s="30">
        <v>5445878</v>
      </c>
      <c r="C43" s="29">
        <v>5199469</v>
      </c>
      <c r="D43" s="30">
        <v>6481099</v>
      </c>
      <c r="E43" s="29">
        <v>6615633</v>
      </c>
      <c r="F43" s="30">
        <v>5968801</v>
      </c>
      <c r="G43" s="29">
        <v>6520380</v>
      </c>
      <c r="H43" s="30">
        <v>7494103</v>
      </c>
      <c r="I43" s="31">
        <v>7959406</v>
      </c>
      <c r="J43" s="33">
        <v>7778447</v>
      </c>
      <c r="K43" s="276">
        <v>8408856</v>
      </c>
      <c r="L43" s="486">
        <v>9669940</v>
      </c>
      <c r="M43" s="276">
        <v>8711001</v>
      </c>
    </row>
    <row r="44" spans="1:14" ht="13">
      <c r="A44" s="65" t="s">
        <v>66</v>
      </c>
      <c r="B44" s="30">
        <v>2316316</v>
      </c>
      <c r="C44" s="29">
        <v>2195150</v>
      </c>
      <c r="D44" s="30">
        <v>2113970</v>
      </c>
      <c r="E44" s="29">
        <v>2791490</v>
      </c>
      <c r="F44" s="30">
        <v>876247</v>
      </c>
      <c r="G44" s="29">
        <v>945949</v>
      </c>
      <c r="H44" s="30">
        <v>1582578</v>
      </c>
      <c r="I44" s="31">
        <v>1778142</v>
      </c>
      <c r="J44" s="33">
        <v>1754284</v>
      </c>
      <c r="K44" s="276">
        <v>1712544</v>
      </c>
      <c r="L44" s="486">
        <v>2219270</v>
      </c>
      <c r="M44" s="276">
        <v>2336321</v>
      </c>
    </row>
    <row r="45" spans="1:14" ht="13">
      <c r="A45" s="65" t="s">
        <v>67</v>
      </c>
      <c r="B45" s="33">
        <v>0</v>
      </c>
      <c r="C45" s="29">
        <v>0</v>
      </c>
      <c r="D45" s="33">
        <v>0</v>
      </c>
      <c r="E45" s="29">
        <v>0</v>
      </c>
      <c r="F45" s="30">
        <v>2117137</v>
      </c>
      <c r="G45" s="29">
        <v>1906733</v>
      </c>
      <c r="H45" s="30">
        <v>1460714</v>
      </c>
      <c r="I45" s="31">
        <v>2884051</v>
      </c>
      <c r="J45" s="33">
        <v>3744874</v>
      </c>
      <c r="K45" s="276">
        <v>3567235</v>
      </c>
      <c r="L45" s="486">
        <v>3701483</v>
      </c>
      <c r="M45" s="276">
        <v>3923683</v>
      </c>
    </row>
    <row r="46" spans="1:14" ht="13">
      <c r="A46" s="67" t="s">
        <v>90</v>
      </c>
      <c r="B46" s="34">
        <f>SUM(B43:B44)</f>
        <v>7762194</v>
      </c>
      <c r="C46" s="35">
        <f>SUM(C43:C44)</f>
        <v>7394619</v>
      </c>
      <c r="D46" s="34">
        <f>SUM(D43:D44)</f>
        <v>8595069</v>
      </c>
      <c r="E46" s="35">
        <f>SUM(E43:E44)</f>
        <v>9407123</v>
      </c>
      <c r="F46" s="34">
        <f>SUM(F43:F45)</f>
        <v>8962185</v>
      </c>
      <c r="G46" s="35">
        <f>SUM(G43:G45)</f>
        <v>9373062</v>
      </c>
      <c r="H46" s="34">
        <f>SUM(H43:H45)</f>
        <v>10537395</v>
      </c>
      <c r="I46" s="36">
        <f>SUM(I43:I45)</f>
        <v>12621599</v>
      </c>
      <c r="J46" s="34">
        <f>SUM(J43:J45)</f>
        <v>13277605</v>
      </c>
      <c r="K46" s="36">
        <f t="shared" ref="K46" si="31">SUM(K43:K45)</f>
        <v>13688635</v>
      </c>
      <c r="L46" s="489">
        <f>SUM(L42:L45)</f>
        <v>15590888</v>
      </c>
      <c r="M46" s="36">
        <f>SUM(M42:M45)</f>
        <v>14971005</v>
      </c>
    </row>
    <row r="47" spans="1:14" ht="10.9" customHeight="1">
      <c r="A47" s="148" t="s">
        <v>155</v>
      </c>
      <c r="B47" s="38"/>
      <c r="C47" s="38">
        <f t="shared" ref="C47:G47" si="32">(C46-B46)/B46</f>
        <v>-4.7354523733882457E-2</v>
      </c>
      <c r="D47" s="38">
        <f t="shared" si="32"/>
        <v>0.16234102122097163</v>
      </c>
      <c r="E47" s="38">
        <f t="shared" si="32"/>
        <v>9.4479055374657256E-2</v>
      </c>
      <c r="F47" s="38">
        <f t="shared" si="32"/>
        <v>-4.7297988981328296E-2</v>
      </c>
      <c r="G47" s="38">
        <f t="shared" si="32"/>
        <v>4.5845628047178226E-2</v>
      </c>
      <c r="H47" s="38">
        <f t="shared" ref="H47:M47" si="33">(H46-G46)/G46</f>
        <v>0.12422119900625857</v>
      </c>
      <c r="I47" s="38">
        <f t="shared" si="33"/>
        <v>0.19779119981741217</v>
      </c>
      <c r="J47" s="38">
        <f t="shared" si="33"/>
        <v>5.1974872597362665E-2</v>
      </c>
      <c r="K47" s="38">
        <f t="shared" si="33"/>
        <v>3.0956637134483215E-2</v>
      </c>
      <c r="L47" s="148">
        <f t="shared" si="33"/>
        <v>0.13896586474838432</v>
      </c>
      <c r="M47" s="38">
        <f t="shared" si="33"/>
        <v>-3.9759313260412106E-2</v>
      </c>
    </row>
    <row r="48" spans="1:14" ht="13">
      <c r="A48" s="179" t="s">
        <v>91</v>
      </c>
      <c r="B48" s="181">
        <f t="shared" ref="B48:K48" si="34">SUM(B11+B23+B25-B39)</f>
        <v>7762194</v>
      </c>
      <c r="C48" s="181">
        <f t="shared" si="34"/>
        <v>7394618.9656907618</v>
      </c>
      <c r="D48" s="181">
        <f t="shared" si="34"/>
        <v>8595069.2004698776</v>
      </c>
      <c r="E48" s="181">
        <f t="shared" si="34"/>
        <v>9407122.8822414503</v>
      </c>
      <c r="F48" s="181">
        <f t="shared" si="34"/>
        <v>8962184.9802324306</v>
      </c>
      <c r="G48" s="181">
        <f t="shared" si="34"/>
        <v>9373062.1407905184</v>
      </c>
      <c r="H48" s="181">
        <f t="shared" si="34"/>
        <v>10537395.023554688</v>
      </c>
      <c r="I48" s="181">
        <f t="shared" si="34"/>
        <v>12621599.111041369</v>
      </c>
      <c r="J48" s="181">
        <f t="shared" si="34"/>
        <v>13277604.913726106</v>
      </c>
      <c r="K48" s="181">
        <f t="shared" si="34"/>
        <v>13688635</v>
      </c>
      <c r="L48" s="500">
        <f t="shared" ref="L48:M48" si="35">SUM(L11+L23+L25-L39)</f>
        <v>15590426</v>
      </c>
      <c r="M48" s="181">
        <f t="shared" si="35"/>
        <v>14971005</v>
      </c>
    </row>
    <row r="49" spans="1:13" s="149" customFormat="1" ht="9.65" customHeight="1">
      <c r="A49" s="155"/>
      <c r="B49" s="172"/>
      <c r="C49" s="172"/>
      <c r="D49" s="172"/>
      <c r="E49" s="172"/>
      <c r="F49" s="172"/>
      <c r="G49" s="157"/>
      <c r="H49" s="157"/>
      <c r="I49" s="157"/>
      <c r="J49" s="158"/>
      <c r="K49" s="158"/>
      <c r="L49" s="157"/>
      <c r="M49" s="576"/>
    </row>
    <row r="50" spans="1:13" s="135" customFormat="1" ht="13">
      <c r="A50" s="164"/>
      <c r="B50" s="18" t="s">
        <v>124</v>
      </c>
      <c r="C50" s="44" t="s">
        <v>315</v>
      </c>
      <c r="D50" s="19" t="s">
        <v>316</v>
      </c>
      <c r="E50" s="44" t="s">
        <v>309</v>
      </c>
      <c r="F50" s="741" t="s">
        <v>317</v>
      </c>
      <c r="G50" s="44" t="s">
        <v>123</v>
      </c>
      <c r="H50" s="19" t="s">
        <v>122</v>
      </c>
      <c r="I50" s="134" t="s">
        <v>160</v>
      </c>
      <c r="J50" s="73" t="s">
        <v>159</v>
      </c>
      <c r="K50" s="292" t="s">
        <v>213</v>
      </c>
      <c r="L50" s="501" t="str">
        <f>L2</f>
        <v>CY'2016</v>
      </c>
      <c r="M50" s="700" t="str">
        <f>M2</f>
        <v>CY'2017</v>
      </c>
    </row>
    <row r="51" spans="1:13" ht="13">
      <c r="A51" s="178" t="s">
        <v>92</v>
      </c>
      <c r="B51" s="61" t="s">
        <v>127</v>
      </c>
      <c r="C51" s="143" t="s">
        <v>318</v>
      </c>
      <c r="D51" s="61" t="s">
        <v>319</v>
      </c>
      <c r="E51" s="143" t="s">
        <v>320</v>
      </c>
      <c r="F51" s="61" t="s">
        <v>321</v>
      </c>
      <c r="G51" s="143" t="s">
        <v>126</v>
      </c>
      <c r="H51" s="61" t="s">
        <v>125</v>
      </c>
      <c r="I51" s="144" t="s">
        <v>162</v>
      </c>
      <c r="J51" s="142" t="s">
        <v>161</v>
      </c>
      <c r="K51" s="293" t="s">
        <v>214</v>
      </c>
      <c r="L51" s="502" t="s">
        <v>222</v>
      </c>
      <c r="M51" s="293" t="s">
        <v>238</v>
      </c>
    </row>
    <row r="52" spans="1:13" ht="13">
      <c r="A52" s="92" t="s">
        <v>64</v>
      </c>
      <c r="B52" s="25"/>
      <c r="C52" s="46"/>
      <c r="D52" s="25"/>
      <c r="E52" s="46"/>
      <c r="F52" s="25"/>
      <c r="G52" s="46"/>
      <c r="H52" s="25"/>
      <c r="I52" s="47"/>
      <c r="J52" s="25"/>
      <c r="K52" s="294"/>
      <c r="L52" s="503"/>
      <c r="M52" s="294"/>
    </row>
    <row r="53" spans="1:13" ht="13">
      <c r="A53" s="65" t="s">
        <v>228</v>
      </c>
      <c r="B53" s="25"/>
      <c r="C53" s="46"/>
      <c r="D53" s="25"/>
      <c r="E53" s="46"/>
      <c r="F53" s="25"/>
      <c r="G53" s="46"/>
      <c r="H53" s="25"/>
      <c r="I53" s="47"/>
      <c r="J53" s="25"/>
      <c r="K53" s="294"/>
      <c r="L53" s="504">
        <f>L42</f>
        <v>195</v>
      </c>
      <c r="M53" s="701">
        <v>0</v>
      </c>
    </row>
    <row r="54" spans="1:13" ht="13">
      <c r="A54" s="65" t="s">
        <v>65</v>
      </c>
      <c r="B54" s="30">
        <v>5445878</v>
      </c>
      <c r="C54" s="48">
        <v>5199469</v>
      </c>
      <c r="D54" s="30">
        <v>6481099</v>
      </c>
      <c r="E54" s="48">
        <v>6615633</v>
      </c>
      <c r="F54" s="30">
        <v>5968801</v>
      </c>
      <c r="G54" s="48">
        <v>6520380</v>
      </c>
      <c r="H54" s="30">
        <v>7494103</v>
      </c>
      <c r="I54" s="49">
        <v>7959406</v>
      </c>
      <c r="J54" s="33">
        <v>7778447</v>
      </c>
      <c r="K54" s="295">
        <v>8408856</v>
      </c>
      <c r="L54" s="505">
        <f>L43</f>
        <v>9669940</v>
      </c>
      <c r="M54" s="295">
        <v>8711001</v>
      </c>
    </row>
    <row r="55" spans="1:13" ht="13">
      <c r="A55" s="65" t="s">
        <v>66</v>
      </c>
      <c r="B55" s="30">
        <v>2316316</v>
      </c>
      <c r="C55" s="48">
        <v>2195150</v>
      </c>
      <c r="D55" s="30">
        <v>2113970</v>
      </c>
      <c r="E55" s="48">
        <v>2791490</v>
      </c>
      <c r="F55" s="30">
        <v>876247</v>
      </c>
      <c r="G55" s="48">
        <v>945949</v>
      </c>
      <c r="H55" s="30">
        <v>1582578</v>
      </c>
      <c r="I55" s="49">
        <v>1778142</v>
      </c>
      <c r="J55" s="33">
        <v>1754284</v>
      </c>
      <c r="K55" s="295">
        <v>1712544</v>
      </c>
      <c r="L55" s="505">
        <f>L44</f>
        <v>2219270</v>
      </c>
      <c r="M55" s="295">
        <v>2336321</v>
      </c>
    </row>
    <row r="56" spans="1:13" ht="13">
      <c r="A56" s="65" t="s">
        <v>67</v>
      </c>
      <c r="B56" s="33">
        <v>0</v>
      </c>
      <c r="C56" s="48">
        <v>0</v>
      </c>
      <c r="D56" s="33">
        <v>0</v>
      </c>
      <c r="E56" s="48">
        <v>0</v>
      </c>
      <c r="F56" s="30">
        <v>2117137</v>
      </c>
      <c r="G56" s="48">
        <v>1906733</v>
      </c>
      <c r="H56" s="30">
        <v>1460714</v>
      </c>
      <c r="I56" s="49">
        <v>2884051</v>
      </c>
      <c r="J56" s="33">
        <v>3744874</v>
      </c>
      <c r="K56" s="295">
        <v>3567235</v>
      </c>
      <c r="L56" s="505">
        <f>L45</f>
        <v>3701483</v>
      </c>
      <c r="M56" s="295">
        <v>3923683</v>
      </c>
    </row>
    <row r="57" spans="1:13" ht="13">
      <c r="A57" s="65" t="s">
        <v>68</v>
      </c>
      <c r="B57" s="33">
        <f t="shared" ref="B57:I57" si="36">SUM(B52:B56)</f>
        <v>7762194</v>
      </c>
      <c r="C57" s="48">
        <f t="shared" si="36"/>
        <v>7394619</v>
      </c>
      <c r="D57" s="33">
        <f t="shared" si="36"/>
        <v>8595069</v>
      </c>
      <c r="E57" s="48">
        <f t="shared" si="36"/>
        <v>9407123</v>
      </c>
      <c r="F57" s="33">
        <f t="shared" si="36"/>
        <v>8962185</v>
      </c>
      <c r="G57" s="48">
        <f t="shared" si="36"/>
        <v>9373062</v>
      </c>
      <c r="H57" s="33">
        <f t="shared" si="36"/>
        <v>10537395</v>
      </c>
      <c r="I57" s="49">
        <f t="shared" si="36"/>
        <v>12621599</v>
      </c>
      <c r="J57" s="33">
        <f>SUM(J52:J56)</f>
        <v>13277605</v>
      </c>
      <c r="K57" s="295">
        <f>SUM(K54:K56)</f>
        <v>13688635</v>
      </c>
      <c r="L57" s="505">
        <f>SUM(L54:L56)</f>
        <v>15590693</v>
      </c>
      <c r="M57" s="295">
        <f>SUM(M54:M56)</f>
        <v>14971005</v>
      </c>
    </row>
    <row r="58" spans="1:13" ht="13">
      <c r="A58" s="65" t="s">
        <v>69</v>
      </c>
      <c r="B58" s="30">
        <v>2116</v>
      </c>
      <c r="C58" s="48">
        <v>29562</v>
      </c>
      <c r="D58" s="30">
        <v>32352</v>
      </c>
      <c r="E58" s="48">
        <v>-73365</v>
      </c>
      <c r="F58" s="743">
        <v>11378</v>
      </c>
      <c r="G58" s="477">
        <v>0</v>
      </c>
      <c r="H58" s="478">
        <v>27271</v>
      </c>
      <c r="I58" s="479">
        <v>1528</v>
      </c>
      <c r="J58" s="478">
        <v>-9226</v>
      </c>
      <c r="K58" s="480">
        <f>-1488</f>
        <v>-1488</v>
      </c>
      <c r="L58" s="506">
        <v>-3311</v>
      </c>
      <c r="M58" s="480">
        <v>258872</v>
      </c>
    </row>
    <row r="59" spans="1:13" ht="13">
      <c r="A59" s="64" t="s">
        <v>70</v>
      </c>
      <c r="B59" s="50">
        <f>SUM(B57:B58)</f>
        <v>7764310</v>
      </c>
      <c r="C59" s="51">
        <f t="shared" ref="C59:F59" si="37">SUM(C57:C58)</f>
        <v>7424181</v>
      </c>
      <c r="D59" s="50">
        <f t="shared" si="37"/>
        <v>8627421</v>
      </c>
      <c r="E59" s="51">
        <f t="shared" si="37"/>
        <v>9333758</v>
      </c>
      <c r="F59" s="34">
        <f t="shared" si="37"/>
        <v>8973563</v>
      </c>
      <c r="G59" s="51">
        <f t="shared" ref="G59:I59" si="38">SUM(G57:G58)</f>
        <v>9373062</v>
      </c>
      <c r="H59" s="34">
        <f t="shared" si="38"/>
        <v>10564666</v>
      </c>
      <c r="I59" s="52">
        <f t="shared" si="38"/>
        <v>12623127</v>
      </c>
      <c r="J59" s="34">
        <f>SUM(J57:J58)</f>
        <v>13268379</v>
      </c>
      <c r="K59" s="297">
        <f>SUM(K57:K58)</f>
        <v>13687147</v>
      </c>
      <c r="L59" s="507">
        <f>SUM(L57:L58)</f>
        <v>15587382</v>
      </c>
      <c r="M59" s="297">
        <f>SUM(M57:M58)</f>
        <v>15229877</v>
      </c>
    </row>
    <row r="60" spans="1:13" ht="10.9" customHeight="1">
      <c r="A60" s="148" t="s">
        <v>155</v>
      </c>
      <c r="B60" s="38"/>
      <c r="C60" s="38">
        <f t="shared" ref="C60:G60" si="39">(C59-B59)/B59</f>
        <v>-4.3806725903525232E-2</v>
      </c>
      <c r="D60" s="38">
        <f t="shared" si="39"/>
        <v>0.16207040210900031</v>
      </c>
      <c r="E60" s="38">
        <f t="shared" si="39"/>
        <v>8.1871164047749606E-2</v>
      </c>
      <c r="F60" s="38">
        <f t="shared" si="39"/>
        <v>-3.8590565557838546E-2</v>
      </c>
      <c r="G60" s="38">
        <f t="shared" si="39"/>
        <v>4.4519551486962315E-2</v>
      </c>
      <c r="H60" s="38">
        <f t="shared" ref="H60:I60" si="40">(H59-G59)/G59</f>
        <v>0.12713070712644384</v>
      </c>
      <c r="I60" s="38">
        <f t="shared" si="40"/>
        <v>0.19484392596983188</v>
      </c>
      <c r="J60" s="38">
        <f>(J59-I59)/I59</f>
        <v>5.1116652791340846E-2</v>
      </c>
      <c r="K60" s="298">
        <f>(K59-J59)/J59</f>
        <v>3.1561353500680074E-2</v>
      </c>
      <c r="L60" s="508">
        <f>(L59-K59)/K59</f>
        <v>0.13883353484842384</v>
      </c>
      <c r="M60" s="298">
        <f>(M59-L59)/L59</f>
        <v>-2.293553850159058E-2</v>
      </c>
    </row>
    <row r="61" spans="1:13" ht="13">
      <c r="A61" s="92" t="s">
        <v>71</v>
      </c>
      <c r="B61" s="39"/>
      <c r="C61" s="45"/>
      <c r="D61" s="39"/>
      <c r="E61" s="46"/>
      <c r="F61" s="25"/>
      <c r="G61" s="55"/>
      <c r="H61" s="56"/>
      <c r="I61" s="55"/>
      <c r="J61" s="25"/>
      <c r="K61" s="299"/>
      <c r="L61" s="509"/>
      <c r="M61" s="299"/>
    </row>
    <row r="62" spans="1:13" ht="13">
      <c r="A62" s="65" t="s">
        <v>72</v>
      </c>
      <c r="B62" s="30">
        <v>0</v>
      </c>
      <c r="C62" s="48">
        <v>0</v>
      </c>
      <c r="D62" s="30">
        <v>0</v>
      </c>
      <c r="E62" s="744">
        <v>0</v>
      </c>
      <c r="F62" s="42">
        <v>0</v>
      </c>
      <c r="G62" s="48">
        <v>0</v>
      </c>
      <c r="H62" s="54">
        <v>0</v>
      </c>
      <c r="I62" s="49">
        <v>0</v>
      </c>
      <c r="J62" s="33">
        <v>0</v>
      </c>
      <c r="K62" s="296">
        <v>0</v>
      </c>
      <c r="L62" s="510">
        <v>0</v>
      </c>
      <c r="M62" s="296">
        <v>0</v>
      </c>
    </row>
    <row r="63" spans="1:13" ht="13">
      <c r="A63" s="65" t="s">
        <v>73</v>
      </c>
      <c r="B63" s="30">
        <v>0</v>
      </c>
      <c r="C63" s="48">
        <v>0</v>
      </c>
      <c r="D63" s="30">
        <v>0</v>
      </c>
      <c r="E63" s="744">
        <v>0</v>
      </c>
      <c r="F63" s="42">
        <v>0</v>
      </c>
      <c r="G63" s="48">
        <v>0</v>
      </c>
      <c r="H63" s="54">
        <v>0</v>
      </c>
      <c r="I63" s="49">
        <v>0</v>
      </c>
      <c r="J63" s="33">
        <v>0</v>
      </c>
      <c r="K63" s="296">
        <v>0</v>
      </c>
      <c r="L63" s="510">
        <v>0</v>
      </c>
      <c r="M63" s="296">
        <v>0</v>
      </c>
    </row>
    <row r="64" spans="1:13" ht="13">
      <c r="A64" s="65" t="s">
        <v>74</v>
      </c>
      <c r="B64" s="30">
        <v>0</v>
      </c>
      <c r="C64" s="48">
        <v>0</v>
      </c>
      <c r="D64" s="30">
        <v>0</v>
      </c>
      <c r="E64" s="744">
        <v>0</v>
      </c>
      <c r="F64" s="42">
        <v>0</v>
      </c>
      <c r="G64" s="48">
        <v>0</v>
      </c>
      <c r="H64" s="54">
        <v>0</v>
      </c>
      <c r="I64" s="49">
        <v>0</v>
      </c>
      <c r="J64" s="33">
        <v>0</v>
      </c>
      <c r="K64" s="296">
        <v>0</v>
      </c>
      <c r="L64" s="510">
        <v>0</v>
      </c>
      <c r="M64" s="296">
        <v>0</v>
      </c>
    </row>
    <row r="65" spans="1:13" ht="13">
      <c r="A65" s="65" t="s">
        <v>75</v>
      </c>
      <c r="B65" s="30">
        <v>0</v>
      </c>
      <c r="C65" s="48">
        <v>0</v>
      </c>
      <c r="D65" s="30">
        <v>0</v>
      </c>
      <c r="E65" s="744">
        <v>0</v>
      </c>
      <c r="F65" s="42">
        <v>0</v>
      </c>
      <c r="G65" s="48">
        <v>0</v>
      </c>
      <c r="H65" s="54">
        <v>0</v>
      </c>
      <c r="I65" s="49">
        <v>0</v>
      </c>
      <c r="J65" s="33">
        <v>0</v>
      </c>
      <c r="K65" s="296">
        <v>0</v>
      </c>
      <c r="L65" s="510">
        <v>0</v>
      </c>
      <c r="M65" s="296">
        <v>0</v>
      </c>
    </row>
    <row r="66" spans="1:13" ht="13">
      <c r="A66" s="65" t="s">
        <v>76</v>
      </c>
      <c r="B66" s="30">
        <v>0</v>
      </c>
      <c r="C66" s="48">
        <v>0</v>
      </c>
      <c r="D66" s="30">
        <v>0</v>
      </c>
      <c r="E66" s="744">
        <v>0</v>
      </c>
      <c r="F66" s="42">
        <v>0</v>
      </c>
      <c r="G66" s="48">
        <v>0</v>
      </c>
      <c r="H66" s="54">
        <v>0</v>
      </c>
      <c r="I66" s="49">
        <v>0</v>
      </c>
      <c r="J66" s="33">
        <v>0</v>
      </c>
      <c r="K66" s="296">
        <v>0</v>
      </c>
      <c r="L66" s="510">
        <v>0</v>
      </c>
      <c r="M66" s="296">
        <v>0</v>
      </c>
    </row>
    <row r="67" spans="1:13" ht="13">
      <c r="A67" s="65" t="s">
        <v>77</v>
      </c>
      <c r="B67" s="30">
        <v>0</v>
      </c>
      <c r="C67" s="48">
        <v>0</v>
      </c>
      <c r="D67" s="30">
        <v>0</v>
      </c>
      <c r="E67" s="744">
        <v>0</v>
      </c>
      <c r="F67" s="42">
        <v>0</v>
      </c>
      <c r="G67" s="48">
        <v>0</v>
      </c>
      <c r="H67" s="54">
        <v>0</v>
      </c>
      <c r="I67" s="49">
        <v>0</v>
      </c>
      <c r="J67" s="33">
        <v>0</v>
      </c>
      <c r="K67" s="296">
        <v>0</v>
      </c>
      <c r="L67" s="510">
        <v>0</v>
      </c>
      <c r="M67" s="296">
        <v>0</v>
      </c>
    </row>
    <row r="68" spans="1:13" ht="13">
      <c r="A68" s="67" t="s">
        <v>78</v>
      </c>
      <c r="B68" s="30">
        <f>SUM(B62:B67)</f>
        <v>0</v>
      </c>
      <c r="C68" s="48">
        <f t="shared" ref="C68:F68" si="41">SUM(C62:C67)</f>
        <v>0</v>
      </c>
      <c r="D68" s="33">
        <f t="shared" si="41"/>
        <v>0</v>
      </c>
      <c r="E68" s="48">
        <f t="shared" si="41"/>
        <v>0</v>
      </c>
      <c r="F68" s="33">
        <f t="shared" si="41"/>
        <v>0</v>
      </c>
      <c r="G68" s="48">
        <f t="shared" ref="G68:K68" si="42">SUM(G62:G67)</f>
        <v>0</v>
      </c>
      <c r="H68" s="33">
        <f t="shared" si="42"/>
        <v>0</v>
      </c>
      <c r="I68" s="49">
        <f t="shared" si="42"/>
        <v>0</v>
      </c>
      <c r="J68" s="33">
        <f t="shared" si="42"/>
        <v>0</v>
      </c>
      <c r="K68" s="296">
        <f t="shared" si="42"/>
        <v>0</v>
      </c>
      <c r="L68" s="510">
        <f t="shared" ref="L68:M68" si="43">SUM(L62:L67)</f>
        <v>0</v>
      </c>
      <c r="M68" s="296">
        <f t="shared" si="43"/>
        <v>0</v>
      </c>
    </row>
    <row r="69" spans="1:13" ht="10.9" customHeight="1">
      <c r="A69" s="148" t="s">
        <v>155</v>
      </c>
      <c r="B69" s="38">
        <v>0</v>
      </c>
      <c r="C69" s="38">
        <v>0</v>
      </c>
      <c r="D69" s="38">
        <v>0</v>
      </c>
      <c r="E69" s="38">
        <v>0</v>
      </c>
      <c r="F69" s="38">
        <v>0</v>
      </c>
      <c r="G69" s="38">
        <v>0</v>
      </c>
      <c r="H69" s="38">
        <v>0</v>
      </c>
      <c r="I69" s="38">
        <v>0</v>
      </c>
      <c r="J69" s="38">
        <v>0</v>
      </c>
      <c r="K69" s="298">
        <v>0</v>
      </c>
      <c r="L69" s="508">
        <v>0</v>
      </c>
      <c r="M69" s="298">
        <v>1</v>
      </c>
    </row>
    <row r="70" spans="1:13" ht="13">
      <c r="A70" s="65" t="s">
        <v>79</v>
      </c>
      <c r="B70" s="30">
        <v>3481</v>
      </c>
      <c r="C70" s="48">
        <v>12554</v>
      </c>
      <c r="D70" s="30">
        <v>6959</v>
      </c>
      <c r="E70" s="48">
        <v>12395</v>
      </c>
      <c r="F70" s="42">
        <v>4221</v>
      </c>
      <c r="G70" s="48">
        <v>2209</v>
      </c>
      <c r="H70" s="33">
        <v>1096</v>
      </c>
      <c r="I70" s="49">
        <v>32022</v>
      </c>
      <c r="J70" s="32">
        <v>103683</v>
      </c>
      <c r="K70" s="300">
        <v>35539</v>
      </c>
      <c r="L70" s="511">
        <v>42551</v>
      </c>
      <c r="M70" s="300">
        <v>68064</v>
      </c>
    </row>
    <row r="71" spans="1:13" ht="13">
      <c r="A71" s="64" t="s">
        <v>80</v>
      </c>
      <c r="B71" s="50">
        <f t="shared" ref="B71:I71" si="44">SUM(B68:B70)</f>
        <v>3481</v>
      </c>
      <c r="C71" s="51">
        <f t="shared" si="44"/>
        <v>12554</v>
      </c>
      <c r="D71" s="50">
        <f t="shared" si="44"/>
        <v>6959</v>
      </c>
      <c r="E71" s="51">
        <f t="shared" si="44"/>
        <v>12395</v>
      </c>
      <c r="F71" s="34">
        <f t="shared" si="44"/>
        <v>4221</v>
      </c>
      <c r="G71" s="51">
        <f t="shared" si="44"/>
        <v>2209</v>
      </c>
      <c r="H71" s="34">
        <f t="shared" si="44"/>
        <v>1096</v>
      </c>
      <c r="I71" s="52">
        <f t="shared" si="44"/>
        <v>32022</v>
      </c>
      <c r="J71" s="34">
        <f>SUM(J68+J70)</f>
        <v>103683</v>
      </c>
      <c r="K71" s="300">
        <f>SUM(K70)</f>
        <v>35539</v>
      </c>
      <c r="L71" s="511">
        <f>SUM(L70)</f>
        <v>42551</v>
      </c>
      <c r="M71" s="300">
        <f>SUM(M70)</f>
        <v>68064</v>
      </c>
    </row>
    <row r="72" spans="1:13" ht="10.9" customHeight="1">
      <c r="A72" s="148" t="s">
        <v>155</v>
      </c>
      <c r="B72" s="38"/>
      <c r="C72" s="38">
        <f t="shared" ref="C72:G72" si="45">(C71-B71)/B71</f>
        <v>2.6064349324906635</v>
      </c>
      <c r="D72" s="38">
        <f t="shared" si="45"/>
        <v>-0.44567468535924804</v>
      </c>
      <c r="E72" s="38">
        <f t="shared" si="45"/>
        <v>0.7811467164822532</v>
      </c>
      <c r="F72" s="38">
        <f t="shared" si="45"/>
        <v>-0.6594594594594595</v>
      </c>
      <c r="G72" s="38">
        <f t="shared" si="45"/>
        <v>-0.47666429755981993</v>
      </c>
      <c r="H72" s="38">
        <f t="shared" ref="H72:I72" si="46">(H71-G71)/G71</f>
        <v>-0.50384789497510185</v>
      </c>
      <c r="I72" s="38">
        <f t="shared" si="46"/>
        <v>28.217153284671532</v>
      </c>
      <c r="J72" s="38">
        <f>(J71-I71)/I71</f>
        <v>2.2378677159452876</v>
      </c>
      <c r="K72" s="298">
        <f>(K71-J71)/J71</f>
        <v>-0.65723406923024985</v>
      </c>
      <c r="L72" s="508">
        <f>(L71-K71)/K71</f>
        <v>0.19730436984721011</v>
      </c>
      <c r="M72" s="298">
        <f>(M71-L71)/L71</f>
        <v>0.59958637869850295</v>
      </c>
    </row>
    <row r="73" spans="1:13" ht="13">
      <c r="A73" s="65" t="s">
        <v>58</v>
      </c>
      <c r="B73" s="30">
        <v>-8558</v>
      </c>
      <c r="C73" s="48">
        <v>14643</v>
      </c>
      <c r="D73" s="30">
        <v>94824</v>
      </c>
      <c r="E73" s="48">
        <v>38711</v>
      </c>
      <c r="F73" s="30">
        <v>59466</v>
      </c>
      <c r="G73" s="48">
        <v>9437</v>
      </c>
      <c r="H73" s="30">
        <v>5143</v>
      </c>
      <c r="I73" s="49">
        <v>45520</v>
      </c>
      <c r="J73" s="32">
        <v>22015</v>
      </c>
      <c r="K73" s="295">
        <v>-4359</v>
      </c>
      <c r="L73" s="512">
        <v>-27422</v>
      </c>
      <c r="M73" s="702">
        <v>-54656</v>
      </c>
    </row>
    <row r="74" spans="1:13" ht="13">
      <c r="A74" s="92" t="s">
        <v>81</v>
      </c>
      <c r="B74" s="39"/>
      <c r="C74" s="45"/>
      <c r="D74" s="39"/>
      <c r="E74" s="46"/>
      <c r="F74" s="39"/>
      <c r="G74" s="45"/>
      <c r="H74" s="39"/>
      <c r="I74" s="55"/>
      <c r="J74" s="25"/>
      <c r="K74" s="301"/>
      <c r="L74" s="513"/>
      <c r="M74" s="301"/>
    </row>
    <row r="75" spans="1:13" ht="13">
      <c r="A75" s="65" t="s">
        <v>93</v>
      </c>
      <c r="B75" s="30">
        <v>2766</v>
      </c>
      <c r="C75" s="48">
        <v>372</v>
      </c>
      <c r="D75" s="30">
        <v>40</v>
      </c>
      <c r="E75" s="48">
        <v>1654</v>
      </c>
      <c r="F75" s="30">
        <v>646</v>
      </c>
      <c r="G75" s="48">
        <v>1832</v>
      </c>
      <c r="H75" s="30">
        <v>2201</v>
      </c>
      <c r="I75" s="49">
        <v>-153</v>
      </c>
      <c r="J75" s="32">
        <v>665</v>
      </c>
      <c r="K75" s="296">
        <f>1629</f>
        <v>1629</v>
      </c>
      <c r="L75" s="510">
        <v>68</v>
      </c>
      <c r="M75" s="296">
        <v>40</v>
      </c>
    </row>
    <row r="76" spans="1:13" ht="13">
      <c r="A76" s="65" t="s">
        <v>178</v>
      </c>
      <c r="B76" s="30">
        <v>1558987</v>
      </c>
      <c r="C76" s="48">
        <v>1561202</v>
      </c>
      <c r="D76" s="30">
        <v>1395760</v>
      </c>
      <c r="E76" s="48">
        <v>1467155</v>
      </c>
      <c r="F76" s="30">
        <v>1356725</v>
      </c>
      <c r="G76" s="48">
        <v>1333258</v>
      </c>
      <c r="H76" s="30">
        <v>1293193</v>
      </c>
      <c r="I76" s="49">
        <v>1483975</v>
      </c>
      <c r="J76" s="32">
        <v>1364734</v>
      </c>
      <c r="K76" s="296">
        <v>1525590</v>
      </c>
      <c r="L76" s="510">
        <v>1489669</v>
      </c>
      <c r="M76" s="296">
        <v>1511992</v>
      </c>
    </row>
    <row r="77" spans="1:13" ht="13">
      <c r="A77" s="65" t="s">
        <v>82</v>
      </c>
      <c r="B77" s="30">
        <v>436319</v>
      </c>
      <c r="C77" s="48">
        <v>120141</v>
      </c>
      <c r="D77" s="30">
        <v>186940</v>
      </c>
      <c r="E77" s="48">
        <v>314049</v>
      </c>
      <c r="F77" s="30">
        <v>262482</v>
      </c>
      <c r="G77" s="48">
        <v>167871</v>
      </c>
      <c r="H77" s="30">
        <v>251170</v>
      </c>
      <c r="I77" s="49">
        <v>213148</v>
      </c>
      <c r="J77" s="32">
        <v>361622</v>
      </c>
      <c r="K77" s="296">
        <v>192428</v>
      </c>
      <c r="L77" s="510">
        <f>112126+165337</f>
        <v>277463</v>
      </c>
      <c r="M77" s="296">
        <v>362957</v>
      </c>
    </row>
    <row r="78" spans="1:13" ht="13">
      <c r="A78" s="65" t="s">
        <v>83</v>
      </c>
      <c r="B78" s="30">
        <v>15082</v>
      </c>
      <c r="C78" s="48">
        <v>17130</v>
      </c>
      <c r="D78" s="30">
        <v>14576</v>
      </c>
      <c r="E78" s="48">
        <v>13120</v>
      </c>
      <c r="F78" s="30">
        <v>13212</v>
      </c>
      <c r="G78" s="48">
        <v>11889</v>
      </c>
      <c r="H78" s="30">
        <v>23478</v>
      </c>
      <c r="I78" s="49">
        <v>18998</v>
      </c>
      <c r="J78" s="32">
        <v>120256</v>
      </c>
      <c r="K78" s="296">
        <v>301413</v>
      </c>
      <c r="L78" s="510">
        <v>203406</v>
      </c>
      <c r="M78" s="296">
        <v>16696</v>
      </c>
    </row>
    <row r="79" spans="1:13" ht="13">
      <c r="A79" s="64" t="s">
        <v>84</v>
      </c>
      <c r="B79" s="50">
        <f>SUM(B75:B78)</f>
        <v>2013154</v>
      </c>
      <c r="C79" s="51">
        <f t="shared" ref="C79:F79" si="47">SUM(C75:C78)</f>
        <v>1698845</v>
      </c>
      <c r="D79" s="50">
        <f t="shared" si="47"/>
        <v>1597316</v>
      </c>
      <c r="E79" s="51">
        <f t="shared" si="47"/>
        <v>1795978</v>
      </c>
      <c r="F79" s="34">
        <f t="shared" si="47"/>
        <v>1633065</v>
      </c>
      <c r="G79" s="51">
        <f t="shared" ref="G79:J79" si="48">SUM(G75:G78)</f>
        <v>1514850</v>
      </c>
      <c r="H79" s="34">
        <f t="shared" si="48"/>
        <v>1570042</v>
      </c>
      <c r="I79" s="52">
        <f t="shared" si="48"/>
        <v>1715968</v>
      </c>
      <c r="J79" s="34">
        <f t="shared" si="48"/>
        <v>1847277</v>
      </c>
      <c r="K79" s="303">
        <f>SUM(K75:K78)</f>
        <v>2021060</v>
      </c>
      <c r="L79" s="510">
        <f>SUM(L75:L78)</f>
        <v>1970606</v>
      </c>
      <c r="M79" s="296">
        <f>SUM(M75:M78)</f>
        <v>1891685</v>
      </c>
    </row>
    <row r="80" spans="1:13" ht="10.15" customHeight="1">
      <c r="A80" s="148" t="s">
        <v>155</v>
      </c>
      <c r="B80" s="38"/>
      <c r="C80" s="38">
        <f t="shared" ref="C80:G80" si="49">(C79-B79)/B79</f>
        <v>-0.15612764845610419</v>
      </c>
      <c r="D80" s="38">
        <f t="shared" si="49"/>
        <v>-5.9763545232201877E-2</v>
      </c>
      <c r="E80" s="38">
        <f t="shared" si="49"/>
        <v>0.12437238467529281</v>
      </c>
      <c r="F80" s="38">
        <f t="shared" si="49"/>
        <v>-9.0709908473266376E-2</v>
      </c>
      <c r="G80" s="38">
        <f t="shared" si="49"/>
        <v>-7.2388422996022814E-2</v>
      </c>
      <c r="H80" s="38">
        <f t="shared" ref="H80:I80" si="50">(H79-G79)/G79</f>
        <v>3.643397036010166E-2</v>
      </c>
      <c r="I80" s="38">
        <f t="shared" si="50"/>
        <v>9.2944010415008008E-2</v>
      </c>
      <c r="J80" s="38">
        <f>(J79-I79)/I79</f>
        <v>7.652182325078323E-2</v>
      </c>
      <c r="K80" s="298">
        <f>(K79-J79)/J79</f>
        <v>9.4075225318130409E-2</v>
      </c>
      <c r="L80" s="508">
        <f>(L79-K79)/K79</f>
        <v>-2.4964127734950967E-2</v>
      </c>
      <c r="M80" s="298">
        <f>(M79-L79)/L79</f>
        <v>-4.0049101646904554E-2</v>
      </c>
    </row>
    <row r="81" spans="1:13" ht="13">
      <c r="A81" s="65" t="s">
        <v>85</v>
      </c>
      <c r="B81" s="30">
        <v>6884</v>
      </c>
      <c r="C81" s="48">
        <v>269</v>
      </c>
      <c r="D81" s="30">
        <v>1210</v>
      </c>
      <c r="E81" s="48">
        <v>-336</v>
      </c>
      <c r="F81" s="30">
        <v>800</v>
      </c>
      <c r="G81" s="48">
        <v>607</v>
      </c>
      <c r="H81" s="33">
        <v>658</v>
      </c>
      <c r="I81" s="49">
        <v>0</v>
      </c>
      <c r="J81" s="32">
        <v>0</v>
      </c>
      <c r="K81" s="367">
        <v>-168</v>
      </c>
      <c r="L81" s="510">
        <v>0</v>
      </c>
      <c r="M81" s="296">
        <v>4</v>
      </c>
    </row>
    <row r="82" spans="1:13" ht="13">
      <c r="A82" s="65" t="s">
        <v>86</v>
      </c>
      <c r="B82" s="30">
        <v>413711</v>
      </c>
      <c r="C82" s="48">
        <v>492324</v>
      </c>
      <c r="D82" s="30">
        <v>561168</v>
      </c>
      <c r="E82" s="48">
        <v>579127</v>
      </c>
      <c r="F82" s="30">
        <v>790297</v>
      </c>
      <c r="G82" s="48">
        <v>711610</v>
      </c>
      <c r="H82" s="33">
        <v>710361</v>
      </c>
      <c r="I82" s="49">
        <v>862689</v>
      </c>
      <c r="J82" s="32">
        <v>748708</v>
      </c>
      <c r="K82" s="296">
        <f>741856+222440</f>
        <v>964296</v>
      </c>
      <c r="L82" s="510">
        <f>625052+215420</f>
        <v>840472</v>
      </c>
      <c r="M82" s="296">
        <v>1419542</v>
      </c>
    </row>
    <row r="83" spans="1:13" ht="13">
      <c r="A83" s="64" t="s">
        <v>87</v>
      </c>
      <c r="B83" s="30">
        <f>SUM(B81:B82)</f>
        <v>420595</v>
      </c>
      <c r="C83" s="48">
        <f t="shared" ref="C83:F83" si="51">SUM(C81:C82)</f>
        <v>492593</v>
      </c>
      <c r="D83" s="33">
        <f t="shared" si="51"/>
        <v>562378</v>
      </c>
      <c r="E83" s="48">
        <f t="shared" si="51"/>
        <v>578791</v>
      </c>
      <c r="F83" s="33">
        <f t="shared" si="51"/>
        <v>791097</v>
      </c>
      <c r="G83" s="49">
        <f t="shared" ref="G83:K83" si="52">SUM(G81:G82)</f>
        <v>712217</v>
      </c>
      <c r="H83" s="32">
        <f t="shared" si="52"/>
        <v>711019</v>
      </c>
      <c r="I83" s="49">
        <f t="shared" si="52"/>
        <v>862689</v>
      </c>
      <c r="J83" s="33">
        <f t="shared" si="52"/>
        <v>748708</v>
      </c>
      <c r="K83" s="296">
        <f t="shared" si="52"/>
        <v>964128</v>
      </c>
      <c r="L83" s="510">
        <f t="shared" ref="L83:M83" si="53">SUM(L81:L82)</f>
        <v>840472</v>
      </c>
      <c r="M83" s="296">
        <f t="shared" si="53"/>
        <v>1419546</v>
      </c>
    </row>
    <row r="84" spans="1:13" customFormat="1" ht="10.15" customHeight="1">
      <c r="A84" s="148" t="s">
        <v>155</v>
      </c>
      <c r="B84" s="38"/>
      <c r="C84" s="38">
        <f t="shared" ref="C84:G84" si="54">(C83-B83)/B83</f>
        <v>0.17118130267834852</v>
      </c>
      <c r="D84" s="38">
        <f t="shared" si="54"/>
        <v>0.14166867982289638</v>
      </c>
      <c r="E84" s="38">
        <f t="shared" si="54"/>
        <v>2.9184996568144557E-2</v>
      </c>
      <c r="F84" s="38">
        <f t="shared" si="54"/>
        <v>0.36680943553026912</v>
      </c>
      <c r="G84" s="38">
        <f t="shared" si="54"/>
        <v>-9.9709643697296291E-2</v>
      </c>
      <c r="H84" s="38">
        <f t="shared" ref="H84:J84" si="55">(H83-G83)/G83</f>
        <v>-1.6820716158137197E-3</v>
      </c>
      <c r="I84" s="38">
        <f t="shared" si="55"/>
        <v>0.21331356827314038</v>
      </c>
      <c r="J84" s="38">
        <f t="shared" si="55"/>
        <v>-0.13212293190245847</v>
      </c>
      <c r="K84" s="298">
        <f>(K83-J83)/J83</f>
        <v>0.28772231631023043</v>
      </c>
      <c r="L84" s="508">
        <f>(L83-K83)/K83</f>
        <v>-0.12825682896876764</v>
      </c>
      <c r="M84" s="298">
        <f>(M83-L83)/L83</f>
        <v>0.68898666463606162</v>
      </c>
    </row>
    <row r="85" spans="1:13" ht="13">
      <c r="A85" s="64" t="s">
        <v>26</v>
      </c>
      <c r="B85" s="50">
        <f>SUM(B83,B79)</f>
        <v>2433749</v>
      </c>
      <c r="C85" s="51">
        <f t="shared" ref="C85:F85" si="56">SUM(C83,C79)</f>
        <v>2191438</v>
      </c>
      <c r="D85" s="50">
        <f t="shared" si="56"/>
        <v>2159694</v>
      </c>
      <c r="E85" s="51">
        <f t="shared" si="56"/>
        <v>2374769</v>
      </c>
      <c r="F85" s="34">
        <f t="shared" si="56"/>
        <v>2424162</v>
      </c>
      <c r="G85" s="51">
        <f t="shared" ref="G85:J85" si="57">SUM(G83,G79)</f>
        <v>2227067</v>
      </c>
      <c r="H85" s="34">
        <f t="shared" si="57"/>
        <v>2281061</v>
      </c>
      <c r="I85" s="52">
        <f t="shared" si="57"/>
        <v>2578657</v>
      </c>
      <c r="J85" s="34">
        <f t="shared" si="57"/>
        <v>2595985</v>
      </c>
      <c r="K85" s="303">
        <f>SUM(K81:K82)+K79</f>
        <v>2985188</v>
      </c>
      <c r="L85" s="510">
        <f>SUM(L81:L82)+L79</f>
        <v>2811078</v>
      </c>
      <c r="M85" s="296">
        <f>SUM(M81:M82)+M79</f>
        <v>3311231</v>
      </c>
    </row>
    <row r="86" spans="1:13" ht="13">
      <c r="A86" s="65" t="s">
        <v>60</v>
      </c>
      <c r="B86" s="30">
        <v>75559</v>
      </c>
      <c r="C86" s="48">
        <v>69854</v>
      </c>
      <c r="D86" s="30">
        <v>108295</v>
      </c>
      <c r="E86" s="48">
        <v>141031</v>
      </c>
      <c r="F86" s="30">
        <v>96285</v>
      </c>
      <c r="G86" s="48">
        <v>127370</v>
      </c>
      <c r="H86" s="33">
        <v>157373</v>
      </c>
      <c r="I86" s="49">
        <v>138421</v>
      </c>
      <c r="J86" s="32">
        <v>254516</v>
      </c>
      <c r="K86" s="296">
        <v>39879</v>
      </c>
      <c r="L86" s="510">
        <v>104959</v>
      </c>
      <c r="M86" s="296">
        <v>-119109</v>
      </c>
    </row>
    <row r="87" spans="1:13" ht="13">
      <c r="A87" s="64" t="s">
        <v>88</v>
      </c>
      <c r="B87" s="50">
        <f>SUM(B85:B86)</f>
        <v>2509308</v>
      </c>
      <c r="C87" s="51">
        <f t="shared" ref="C87:F87" si="58">SUM(C85:C86)</f>
        <v>2261292</v>
      </c>
      <c r="D87" s="50">
        <f t="shared" si="58"/>
        <v>2267989</v>
      </c>
      <c r="E87" s="51">
        <f t="shared" si="58"/>
        <v>2515800</v>
      </c>
      <c r="F87" s="34">
        <f t="shared" si="58"/>
        <v>2520447</v>
      </c>
      <c r="G87" s="51">
        <f t="shared" ref="G87:H87" si="59">SUM(G85:G86)</f>
        <v>2354437</v>
      </c>
      <c r="H87" s="34">
        <f t="shared" si="59"/>
        <v>2438434</v>
      </c>
      <c r="I87" s="52">
        <f>SUM(I85:I86)</f>
        <v>2717078</v>
      </c>
      <c r="J87" s="34">
        <f>SUM(J85:J86)</f>
        <v>2850501</v>
      </c>
      <c r="K87" s="303">
        <f>SUM(K85:K86)</f>
        <v>3025067</v>
      </c>
      <c r="L87" s="510">
        <f>SUM(L85:L86)</f>
        <v>2916037</v>
      </c>
      <c r="M87" s="296">
        <f>SUM(M85:M86)</f>
        <v>3192122</v>
      </c>
    </row>
    <row r="88" spans="1:13" ht="10.9" customHeight="1">
      <c r="A88" s="148" t="s">
        <v>155</v>
      </c>
      <c r="B88" s="38"/>
      <c r="C88" s="38">
        <f t="shared" ref="C88:G88" si="60">(C87-B87)/B87</f>
        <v>-9.8838404851058534E-2</v>
      </c>
      <c r="D88" s="38">
        <f t="shared" si="60"/>
        <v>2.9615812553177565E-3</v>
      </c>
      <c r="E88" s="38">
        <f t="shared" si="60"/>
        <v>0.10926463929057857</v>
      </c>
      <c r="F88" s="38">
        <f t="shared" si="60"/>
        <v>1.8471261626520391E-3</v>
      </c>
      <c r="G88" s="38">
        <f t="shared" si="60"/>
        <v>-6.5865300877185673E-2</v>
      </c>
      <c r="H88" s="38">
        <f t="shared" ref="H88:J88" si="61">(H87-G87)/G87</f>
        <v>3.5676044846390031E-2</v>
      </c>
      <c r="I88" s="38">
        <f t="shared" si="61"/>
        <v>0.11427170060784914</v>
      </c>
      <c r="J88" s="38">
        <f t="shared" si="61"/>
        <v>4.9105325647625868E-2</v>
      </c>
      <c r="K88" s="298">
        <f>(K87-J87)/J87</f>
        <v>6.1240462641479518E-2</v>
      </c>
      <c r="L88" s="508">
        <f>(L87-K87)/K87</f>
        <v>-3.6042176917073239E-2</v>
      </c>
      <c r="M88" s="298">
        <f>(M87-L87)/L87</f>
        <v>9.4678153946606308E-2</v>
      </c>
    </row>
    <row r="89" spans="1:13" ht="13">
      <c r="A89" s="92" t="s">
        <v>89</v>
      </c>
      <c r="B89" s="39"/>
      <c r="C89" s="45"/>
      <c r="D89" s="39"/>
      <c r="E89" s="48"/>
      <c r="F89" s="25"/>
      <c r="G89" s="45"/>
      <c r="H89" s="56"/>
      <c r="I89" s="55"/>
      <c r="J89" s="25"/>
      <c r="K89" s="302"/>
      <c r="L89" s="514"/>
      <c r="M89" s="302"/>
    </row>
    <row r="90" spans="1:13" ht="13">
      <c r="A90" s="65" t="s">
        <v>228</v>
      </c>
      <c r="B90" s="39"/>
      <c r="C90" s="45"/>
      <c r="D90" s="39"/>
      <c r="E90" s="48"/>
      <c r="F90" s="25"/>
      <c r="G90" s="45"/>
      <c r="H90" s="56"/>
      <c r="I90" s="55"/>
      <c r="J90" s="25"/>
      <c r="K90" s="302"/>
      <c r="L90" s="515">
        <v>758</v>
      </c>
      <c r="M90" s="703">
        <v>0</v>
      </c>
    </row>
    <row r="91" spans="1:13" ht="13">
      <c r="A91" s="65" t="s">
        <v>65</v>
      </c>
      <c r="B91" s="30">
        <v>3174181</v>
      </c>
      <c r="C91" s="48">
        <v>3333880</v>
      </c>
      <c r="D91" s="30">
        <v>4065696</v>
      </c>
      <c r="E91" s="48">
        <v>3987855</v>
      </c>
      <c r="F91" s="30">
        <v>3685468</v>
      </c>
      <c r="G91" s="48">
        <v>4080775</v>
      </c>
      <c r="H91" s="33">
        <v>4978155</v>
      </c>
      <c r="I91" s="49">
        <v>5136734</v>
      </c>
      <c r="J91" s="32">
        <v>5192080</v>
      </c>
      <c r="K91" s="296">
        <v>5110324</v>
      </c>
      <c r="L91" s="510">
        <v>6901820</v>
      </c>
      <c r="M91" s="296">
        <v>5422649</v>
      </c>
    </row>
    <row r="92" spans="1:13" ht="13">
      <c r="A92" s="65" t="s">
        <v>66</v>
      </c>
      <c r="B92" s="30">
        <v>2075744</v>
      </c>
      <c r="C92" s="48">
        <v>1856206</v>
      </c>
      <c r="D92" s="30">
        <v>2395519</v>
      </c>
      <c r="E92" s="48">
        <v>2881209</v>
      </c>
      <c r="F92" s="30">
        <v>1079044</v>
      </c>
      <c r="G92" s="48">
        <v>1084060</v>
      </c>
      <c r="H92" s="33">
        <v>1259884</v>
      </c>
      <c r="I92" s="49">
        <v>1761852</v>
      </c>
      <c r="J92" s="32">
        <v>1896766</v>
      </c>
      <c r="K92" s="296">
        <v>2018119</v>
      </c>
      <c r="L92" s="510">
        <v>1959327</v>
      </c>
      <c r="M92" s="296">
        <v>2460504</v>
      </c>
    </row>
    <row r="93" spans="1:13" ht="13">
      <c r="A93" s="65" t="s">
        <v>67</v>
      </c>
      <c r="B93" s="33">
        <v>0</v>
      </c>
      <c r="C93" s="48">
        <v>0</v>
      </c>
      <c r="D93" s="33">
        <v>0</v>
      </c>
      <c r="E93" s="48">
        <v>0</v>
      </c>
      <c r="F93" s="30">
        <v>1752291</v>
      </c>
      <c r="G93" s="48">
        <v>1865436</v>
      </c>
      <c r="H93" s="33">
        <v>1894432</v>
      </c>
      <c r="I93" s="49">
        <v>3085005</v>
      </c>
      <c r="J93" s="32">
        <v>3454730</v>
      </c>
      <c r="K93" s="296">
        <v>3564817</v>
      </c>
      <c r="L93" s="510">
        <v>3824301</v>
      </c>
      <c r="M93" s="296">
        <v>4168010</v>
      </c>
    </row>
    <row r="94" spans="1:13" ht="13">
      <c r="A94" s="64" t="s">
        <v>90</v>
      </c>
      <c r="B94" s="50">
        <f>SUM(B91:B92)</f>
        <v>5249925</v>
      </c>
      <c r="C94" s="51">
        <f>SUM(C91:C92)</f>
        <v>5190086</v>
      </c>
      <c r="D94" s="50">
        <f>SUM(D91:D92)</f>
        <v>6461215</v>
      </c>
      <c r="E94" s="51">
        <f t="shared" ref="E94:F94" si="62">SUM(E91:E93)</f>
        <v>6869064</v>
      </c>
      <c r="F94" s="34">
        <f t="shared" si="62"/>
        <v>6516803</v>
      </c>
      <c r="G94" s="52">
        <f t="shared" ref="G94:K94" si="63">SUM(G91:G93)</f>
        <v>7030271</v>
      </c>
      <c r="H94" s="34">
        <f t="shared" si="63"/>
        <v>8132471</v>
      </c>
      <c r="I94" s="52">
        <f t="shared" si="63"/>
        <v>9983591</v>
      </c>
      <c r="J94" s="34">
        <f t="shared" si="63"/>
        <v>10543576</v>
      </c>
      <c r="K94" s="303">
        <f t="shared" si="63"/>
        <v>10693260</v>
      </c>
      <c r="L94" s="516">
        <f>SUM(L90:L93)</f>
        <v>12686206</v>
      </c>
      <c r="M94" s="303">
        <f>SUM(M90:M93)</f>
        <v>12051163</v>
      </c>
    </row>
    <row r="95" spans="1:13" customFormat="1" ht="10.15" customHeight="1">
      <c r="A95" s="148" t="s">
        <v>155</v>
      </c>
      <c r="B95" s="38"/>
      <c r="C95" s="38">
        <f t="shared" ref="C95:G95" si="64">(C94-B94)/B94</f>
        <v>-1.1398067591441782E-2</v>
      </c>
      <c r="D95" s="38">
        <f t="shared" si="64"/>
        <v>0.24491482414742261</v>
      </c>
      <c r="E95" s="38">
        <f t="shared" si="64"/>
        <v>6.3122647984937816E-2</v>
      </c>
      <c r="F95" s="38">
        <f t="shared" si="64"/>
        <v>-5.1282241656214006E-2</v>
      </c>
      <c r="G95" s="38">
        <f t="shared" si="64"/>
        <v>7.8791395105851744E-2</v>
      </c>
      <c r="H95" s="38">
        <f t="shared" ref="H95:I95" si="65">(H94-G94)/G94</f>
        <v>0.1567791625671329</v>
      </c>
      <c r="I95" s="38">
        <f t="shared" si="65"/>
        <v>0.22762085471930979</v>
      </c>
      <c r="J95" s="38">
        <f>(J94-I94)/I94</f>
        <v>5.6090538965388306E-2</v>
      </c>
      <c r="K95" s="298">
        <f>(K94-J94)/J94</f>
        <v>1.4196701384805306E-2</v>
      </c>
      <c r="L95" s="508">
        <f>(L94-K94)/K94</f>
        <v>0.18637403373713909</v>
      </c>
      <c r="M95" s="298">
        <f>(M94-L94)/L94</f>
        <v>-5.0057755644201271E-2</v>
      </c>
    </row>
    <row r="96" spans="1:13" ht="13">
      <c r="A96" s="179" t="s">
        <v>91</v>
      </c>
      <c r="B96" s="166">
        <f t="shared" ref="B96:L96" si="66">SUM(B59+B71+B73-B87)</f>
        <v>5249925</v>
      </c>
      <c r="C96" s="166">
        <f t="shared" si="66"/>
        <v>5190086</v>
      </c>
      <c r="D96" s="166">
        <f t="shared" si="66"/>
        <v>6461215</v>
      </c>
      <c r="E96" s="166">
        <f t="shared" si="66"/>
        <v>6869064</v>
      </c>
      <c r="F96" s="166">
        <f t="shared" si="66"/>
        <v>6516803</v>
      </c>
      <c r="G96" s="166">
        <f t="shared" si="66"/>
        <v>7030271</v>
      </c>
      <c r="H96" s="166">
        <f t="shared" si="66"/>
        <v>8132471</v>
      </c>
      <c r="I96" s="166">
        <f t="shared" si="66"/>
        <v>9983591</v>
      </c>
      <c r="J96" s="166">
        <f t="shared" si="66"/>
        <v>10543576</v>
      </c>
      <c r="K96" s="304">
        <f t="shared" si="66"/>
        <v>10693260</v>
      </c>
      <c r="L96" s="517">
        <f t="shared" si="66"/>
        <v>12686474</v>
      </c>
      <c r="M96" s="304">
        <f t="shared" ref="M96" si="67">SUM(M59+M71+M73-M87)</f>
        <v>12051163</v>
      </c>
    </row>
    <row r="97" spans="1:13" s="149" customFormat="1" ht="9.65" customHeight="1">
      <c r="A97" s="155"/>
      <c r="B97" s="172"/>
      <c r="C97" s="172"/>
      <c r="D97" s="172"/>
      <c r="E97" s="172"/>
      <c r="F97" s="172"/>
      <c r="G97" s="157"/>
      <c r="H97" s="157"/>
      <c r="I97" s="157"/>
      <c r="J97" s="158"/>
      <c r="K97" s="265"/>
      <c r="L97" s="518"/>
      <c r="M97" s="691"/>
    </row>
    <row r="98" spans="1:13" ht="13">
      <c r="A98" s="176" t="s">
        <v>94</v>
      </c>
      <c r="B98" s="59" t="s">
        <v>118</v>
      </c>
      <c r="C98" s="60" t="s">
        <v>307</v>
      </c>
      <c r="D98" s="60" t="s">
        <v>316</v>
      </c>
      <c r="E98" s="60" t="s">
        <v>309</v>
      </c>
      <c r="F98" s="60" t="s">
        <v>322</v>
      </c>
      <c r="G98" s="60" t="s">
        <v>123</v>
      </c>
      <c r="H98" s="60" t="s">
        <v>122</v>
      </c>
      <c r="I98" s="60" t="s">
        <v>160</v>
      </c>
      <c r="J98" s="60" t="s">
        <v>159</v>
      </c>
      <c r="K98" s="60" t="s">
        <v>213</v>
      </c>
      <c r="L98" s="519" t="str">
        <f>L2</f>
        <v>CY'2016</v>
      </c>
      <c r="M98" s="581" t="str">
        <f>M2</f>
        <v>CY'2017</v>
      </c>
    </row>
    <row r="99" spans="1:13" ht="13">
      <c r="A99" s="177"/>
      <c r="B99" s="61" t="s">
        <v>130</v>
      </c>
      <c r="C99" s="61" t="s">
        <v>323</v>
      </c>
      <c r="D99" s="61" t="s">
        <v>324</v>
      </c>
      <c r="E99" s="61" t="s">
        <v>325</v>
      </c>
      <c r="F99" s="61" t="s">
        <v>326</v>
      </c>
      <c r="G99" s="61" t="s">
        <v>129</v>
      </c>
      <c r="H99" s="61" t="s">
        <v>128</v>
      </c>
      <c r="I99" s="61" t="s">
        <v>164</v>
      </c>
      <c r="J99" s="61" t="s">
        <v>163</v>
      </c>
      <c r="K99" s="61" t="s">
        <v>215</v>
      </c>
      <c r="L99" s="484" t="s">
        <v>223</v>
      </c>
      <c r="M99" s="61" t="s">
        <v>345</v>
      </c>
    </row>
    <row r="100" spans="1:13" ht="13">
      <c r="A100" s="64" t="s">
        <v>64</v>
      </c>
      <c r="B100" s="63"/>
      <c r="C100" s="745"/>
      <c r="D100" s="745"/>
      <c r="E100" s="53"/>
      <c r="F100" s="53"/>
      <c r="G100" s="57"/>
      <c r="H100" s="53"/>
      <c r="I100" s="53"/>
      <c r="J100" s="53"/>
      <c r="K100" s="305"/>
      <c r="L100" s="520"/>
      <c r="M100" s="305"/>
    </row>
    <row r="101" spans="1:13" ht="13">
      <c r="A101" s="65" t="s">
        <v>228</v>
      </c>
      <c r="B101" s="63"/>
      <c r="C101" s="745"/>
      <c r="D101" s="745"/>
      <c r="E101" s="53"/>
      <c r="F101" s="53"/>
      <c r="G101" s="57"/>
      <c r="H101" s="53"/>
      <c r="I101" s="53"/>
      <c r="J101" s="53"/>
      <c r="K101" s="305"/>
      <c r="L101" s="521"/>
      <c r="M101" s="582">
        <v>0</v>
      </c>
    </row>
    <row r="102" spans="1:13" ht="13">
      <c r="A102" s="65" t="s">
        <v>65</v>
      </c>
      <c r="B102" s="33">
        <v>1375747</v>
      </c>
      <c r="C102" s="30">
        <v>1292950</v>
      </c>
      <c r="D102" s="30">
        <v>1425766</v>
      </c>
      <c r="E102" s="30">
        <v>1897270</v>
      </c>
      <c r="F102" s="30">
        <v>1897212</v>
      </c>
      <c r="G102" s="33">
        <v>1497412</v>
      </c>
      <c r="H102" s="30">
        <v>1724262</v>
      </c>
      <c r="I102" s="33">
        <v>2365693</v>
      </c>
      <c r="J102" s="33">
        <v>2564083</v>
      </c>
      <c r="K102" s="306">
        <v>2654030</v>
      </c>
      <c r="L102" s="522">
        <v>2773027</v>
      </c>
      <c r="M102" s="306">
        <v>4175273</v>
      </c>
    </row>
    <row r="103" spans="1:13" ht="13">
      <c r="A103" s="65" t="s">
        <v>66</v>
      </c>
      <c r="B103" s="33">
        <v>1614077</v>
      </c>
      <c r="C103" s="30">
        <v>1687510</v>
      </c>
      <c r="D103" s="30">
        <v>1529801</v>
      </c>
      <c r="E103" s="30">
        <v>2447058</v>
      </c>
      <c r="F103" s="30">
        <v>1123944</v>
      </c>
      <c r="G103" s="33">
        <v>1000914</v>
      </c>
      <c r="H103" s="30">
        <v>1683773</v>
      </c>
      <c r="I103" s="33">
        <v>1632929</v>
      </c>
      <c r="J103" s="33">
        <v>1903560</v>
      </c>
      <c r="K103" s="306">
        <v>1834928</v>
      </c>
      <c r="L103" s="522">
        <v>2024414</v>
      </c>
      <c r="M103" s="306">
        <v>1842736</v>
      </c>
    </row>
    <row r="104" spans="1:13" ht="13">
      <c r="A104" s="65" t="s">
        <v>67</v>
      </c>
      <c r="B104" s="30">
        <v>0</v>
      </c>
      <c r="C104" s="30">
        <v>0</v>
      </c>
      <c r="D104" s="30">
        <v>0</v>
      </c>
      <c r="E104" s="30">
        <v>0</v>
      </c>
      <c r="F104" s="30">
        <v>1590050</v>
      </c>
      <c r="G104" s="33">
        <v>1584245</v>
      </c>
      <c r="H104" s="30">
        <v>1159770</v>
      </c>
      <c r="I104" s="33">
        <v>1795073</v>
      </c>
      <c r="J104" s="33">
        <v>3041141</v>
      </c>
      <c r="K104" s="306">
        <v>3182138</v>
      </c>
      <c r="L104" s="522">
        <v>3508002</v>
      </c>
      <c r="M104" s="306">
        <v>3727372</v>
      </c>
    </row>
    <row r="105" spans="1:13" ht="13">
      <c r="A105" s="65" t="s">
        <v>68</v>
      </c>
      <c r="B105" s="33">
        <f>SUM(B102:B104)</f>
        <v>2989824</v>
      </c>
      <c r="C105" s="33">
        <f t="shared" ref="C105:F105" si="68">SUM(C102:C104)</f>
        <v>2980460</v>
      </c>
      <c r="D105" s="33">
        <f t="shared" si="68"/>
        <v>2955567</v>
      </c>
      <c r="E105" s="33">
        <f t="shared" si="68"/>
        <v>4344328</v>
      </c>
      <c r="F105" s="33">
        <f t="shared" si="68"/>
        <v>4611206</v>
      </c>
      <c r="G105" s="33">
        <f t="shared" ref="G105:J105" si="69">SUM(G102:G104)</f>
        <v>4082571</v>
      </c>
      <c r="H105" s="32">
        <f t="shared" si="69"/>
        <v>4567805</v>
      </c>
      <c r="I105" s="33">
        <f t="shared" si="69"/>
        <v>5793695</v>
      </c>
      <c r="J105" s="33">
        <f t="shared" si="69"/>
        <v>7508784</v>
      </c>
      <c r="K105" s="307">
        <f>SUM(K102:K104)</f>
        <v>7671096</v>
      </c>
      <c r="L105" s="523">
        <f>SUM(L101:L104)</f>
        <v>8305443</v>
      </c>
      <c r="M105" s="307">
        <f>SUM(M101:M104)</f>
        <v>9745381</v>
      </c>
    </row>
    <row r="106" spans="1:13" ht="13">
      <c r="A106" s="65" t="s">
        <v>69</v>
      </c>
      <c r="B106" s="33">
        <f>SUM(B10+B58)</f>
        <v>47129</v>
      </c>
      <c r="C106" s="30">
        <v>101546</v>
      </c>
      <c r="D106" s="30">
        <v>43332</v>
      </c>
      <c r="E106" s="30">
        <v>39051</v>
      </c>
      <c r="F106" s="30">
        <v>10766</v>
      </c>
      <c r="G106" s="33">
        <v>18961</v>
      </c>
      <c r="H106" s="30">
        <v>27218</v>
      </c>
      <c r="I106" s="33">
        <v>1919</v>
      </c>
      <c r="J106" s="33">
        <v>-20012</v>
      </c>
      <c r="K106" s="306">
        <v>43952</v>
      </c>
      <c r="L106" s="524">
        <v>-2664</v>
      </c>
      <c r="M106" s="583">
        <v>253802</v>
      </c>
    </row>
    <row r="107" spans="1:13" ht="13">
      <c r="A107" s="64" t="s">
        <v>95</v>
      </c>
      <c r="B107" s="34">
        <f>SUM(B105:B106)</f>
        <v>3036953</v>
      </c>
      <c r="C107" s="34">
        <f t="shared" ref="C107:F107" si="70">SUM(C105:C106)</f>
        <v>3082006</v>
      </c>
      <c r="D107" s="34">
        <f t="shared" si="70"/>
        <v>2998899</v>
      </c>
      <c r="E107" s="34">
        <f t="shared" si="70"/>
        <v>4383379</v>
      </c>
      <c r="F107" s="34">
        <f t="shared" si="70"/>
        <v>4621972</v>
      </c>
      <c r="G107" s="34">
        <f t="shared" ref="G107:J107" si="71">SUM(G105:G106)</f>
        <v>4101532</v>
      </c>
      <c r="H107" s="37">
        <f t="shared" si="71"/>
        <v>4595023</v>
      </c>
      <c r="I107" s="34">
        <f t="shared" si="71"/>
        <v>5795614</v>
      </c>
      <c r="J107" s="34">
        <f t="shared" si="71"/>
        <v>7488772</v>
      </c>
      <c r="K107" s="34">
        <f>SUM(K105:K106)</f>
        <v>7715048</v>
      </c>
      <c r="L107" s="489">
        <f>SUM(L105:L106)</f>
        <v>8302779</v>
      </c>
      <c r="M107" s="34">
        <f>SUM(M105:M106)</f>
        <v>9999183</v>
      </c>
    </row>
    <row r="108" spans="1:13" ht="10.9" customHeight="1">
      <c r="A108" s="148" t="s">
        <v>155</v>
      </c>
      <c r="B108" s="38"/>
      <c r="C108" s="38">
        <f t="shared" ref="C108:G108" si="72">(C107-B107)/B107</f>
        <v>1.4834934883746966E-2</v>
      </c>
      <c r="D108" s="38">
        <f t="shared" si="72"/>
        <v>-2.6965229788650638E-2</v>
      </c>
      <c r="E108" s="38">
        <f t="shared" si="72"/>
        <v>0.46166276356756264</v>
      </c>
      <c r="F108" s="38">
        <f t="shared" si="72"/>
        <v>5.4431296038969026E-2</v>
      </c>
      <c r="G108" s="38">
        <f t="shared" si="72"/>
        <v>-0.11260128793510649</v>
      </c>
      <c r="H108" s="38">
        <f t="shared" ref="H108:J108" si="73">(H107-G107)/G107</f>
        <v>0.12031870042705994</v>
      </c>
      <c r="I108" s="38">
        <f t="shared" si="73"/>
        <v>0.26128073787661127</v>
      </c>
      <c r="J108" s="38">
        <f t="shared" si="73"/>
        <v>0.29214471495168587</v>
      </c>
      <c r="K108" s="38">
        <f>(K107-J107)/J107</f>
        <v>3.0215367753217752E-2</v>
      </c>
      <c r="L108" s="148">
        <f>(L107-K107)/K107</f>
        <v>7.6179824156635184E-2</v>
      </c>
      <c r="M108" s="38">
        <f>(M107-L107)/L107</f>
        <v>0.20431761462035783</v>
      </c>
    </row>
    <row r="109" spans="1:13" ht="13">
      <c r="A109" s="64" t="s">
        <v>71</v>
      </c>
      <c r="B109" s="62"/>
      <c r="C109" s="746"/>
      <c r="D109" s="746"/>
      <c r="E109" s="30"/>
      <c r="F109" s="53"/>
      <c r="G109" s="34"/>
      <c r="H109" s="50"/>
      <c r="I109" s="50"/>
      <c r="J109" s="53"/>
      <c r="K109" s="305"/>
      <c r="L109" s="520"/>
      <c r="M109" s="305"/>
    </row>
    <row r="110" spans="1:13" ht="13">
      <c r="A110" s="65" t="s">
        <v>72</v>
      </c>
      <c r="B110" s="33">
        <v>1879610</v>
      </c>
      <c r="C110" s="33">
        <v>1521894</v>
      </c>
      <c r="D110" s="30">
        <v>2374353</v>
      </c>
      <c r="E110" s="30">
        <v>1817060</v>
      </c>
      <c r="F110" s="30">
        <v>1892382</v>
      </c>
      <c r="G110" s="33">
        <v>2358481</v>
      </c>
      <c r="H110" s="30">
        <v>2157436</v>
      </c>
      <c r="I110" s="30">
        <v>1866242</v>
      </c>
      <c r="J110" s="33">
        <v>1894288</v>
      </c>
      <c r="K110" s="308">
        <v>2190416</v>
      </c>
      <c r="L110" s="525">
        <v>2102566</v>
      </c>
      <c r="M110" s="308">
        <v>1758592</v>
      </c>
    </row>
    <row r="111" spans="1:13" ht="13">
      <c r="A111" s="65" t="s">
        <v>73</v>
      </c>
      <c r="B111" s="33">
        <v>465741</v>
      </c>
      <c r="C111" s="33">
        <v>521905</v>
      </c>
      <c r="D111" s="30">
        <v>508247</v>
      </c>
      <c r="E111" s="30">
        <v>544959</v>
      </c>
      <c r="F111" s="30">
        <v>548889</v>
      </c>
      <c r="G111" s="33">
        <v>494979</v>
      </c>
      <c r="H111" s="30">
        <v>536014</v>
      </c>
      <c r="I111" s="30">
        <v>508805</v>
      </c>
      <c r="J111" s="33">
        <v>570842</v>
      </c>
      <c r="K111" s="308">
        <v>438289</v>
      </c>
      <c r="L111" s="525">
        <v>575192</v>
      </c>
      <c r="M111" s="308">
        <v>422830</v>
      </c>
    </row>
    <row r="112" spans="1:13" ht="13">
      <c r="A112" s="65" t="s">
        <v>74</v>
      </c>
      <c r="B112" s="33">
        <v>465745</v>
      </c>
      <c r="C112" s="33">
        <v>491505</v>
      </c>
      <c r="D112" s="30">
        <v>399348</v>
      </c>
      <c r="E112" s="30">
        <v>429645</v>
      </c>
      <c r="F112" s="30">
        <v>286830</v>
      </c>
      <c r="G112" s="33">
        <v>360533</v>
      </c>
      <c r="H112" s="30">
        <v>403639</v>
      </c>
      <c r="I112" s="30">
        <v>425491</v>
      </c>
      <c r="J112" s="33">
        <v>491895</v>
      </c>
      <c r="K112" s="308">
        <v>546073</v>
      </c>
      <c r="L112" s="525">
        <v>379458</v>
      </c>
      <c r="M112" s="308">
        <v>474359</v>
      </c>
    </row>
    <row r="113" spans="1:13" ht="13">
      <c r="A113" s="65" t="s">
        <v>75</v>
      </c>
      <c r="B113" s="33">
        <v>121368</v>
      </c>
      <c r="C113" s="33">
        <v>188094</v>
      </c>
      <c r="D113" s="30">
        <v>108205</v>
      </c>
      <c r="E113" s="30">
        <v>180094</v>
      </c>
      <c r="F113" s="30">
        <v>118367</v>
      </c>
      <c r="G113" s="33">
        <v>123072</v>
      </c>
      <c r="H113" s="30">
        <v>136653</v>
      </c>
      <c r="I113" s="30">
        <v>147891</v>
      </c>
      <c r="J113" s="33">
        <v>149883</v>
      </c>
      <c r="K113" s="308">
        <v>196085</v>
      </c>
      <c r="L113" s="525">
        <v>159475</v>
      </c>
      <c r="M113" s="308">
        <v>130684</v>
      </c>
    </row>
    <row r="114" spans="1:13" ht="13">
      <c r="A114" s="65" t="s">
        <v>76</v>
      </c>
      <c r="B114" s="33">
        <v>3847157</v>
      </c>
      <c r="C114" s="33">
        <v>3823669</v>
      </c>
      <c r="D114" s="30">
        <v>4463818</v>
      </c>
      <c r="E114" s="30">
        <v>3955284</v>
      </c>
      <c r="F114" s="30">
        <v>3950192</v>
      </c>
      <c r="G114" s="33">
        <v>4416223</v>
      </c>
      <c r="H114" s="30">
        <v>4702938</v>
      </c>
      <c r="I114" s="30">
        <v>5861014</v>
      </c>
      <c r="J114" s="33">
        <v>4923580</v>
      </c>
      <c r="K114" s="308">
        <v>4663294</v>
      </c>
      <c r="L114" s="525">
        <v>6033837</v>
      </c>
      <c r="M114" s="308">
        <v>5335325</v>
      </c>
    </row>
    <row r="115" spans="1:13" ht="13">
      <c r="A115" s="65" t="s">
        <v>77</v>
      </c>
      <c r="B115" s="33">
        <v>652</v>
      </c>
      <c r="C115" s="33">
        <v>580</v>
      </c>
      <c r="D115" s="30">
        <v>6282</v>
      </c>
      <c r="E115" s="30">
        <v>7599</v>
      </c>
      <c r="F115" s="30">
        <v>900</v>
      </c>
      <c r="G115" s="33">
        <v>1304</v>
      </c>
      <c r="H115" s="30">
        <v>569</v>
      </c>
      <c r="I115" s="30">
        <v>9169</v>
      </c>
      <c r="J115" s="33">
        <v>27308</v>
      </c>
      <c r="K115" s="308">
        <v>131</v>
      </c>
      <c r="L115" s="525">
        <v>217</v>
      </c>
      <c r="M115" s="308">
        <v>196</v>
      </c>
    </row>
    <row r="116" spans="1:13" ht="13">
      <c r="A116" s="67" t="s">
        <v>78</v>
      </c>
      <c r="B116" s="33">
        <f>SUM(B110:B115)</f>
        <v>6780273</v>
      </c>
      <c r="C116" s="33">
        <f t="shared" ref="C116:F116" si="74">SUM(C110:C115)</f>
        <v>6547647</v>
      </c>
      <c r="D116" s="33">
        <f t="shared" si="74"/>
        <v>7860253</v>
      </c>
      <c r="E116" s="33">
        <f t="shared" si="74"/>
        <v>6934641</v>
      </c>
      <c r="F116" s="33">
        <f t="shared" si="74"/>
        <v>6797560</v>
      </c>
      <c r="G116" s="33">
        <f t="shared" ref="G116:H116" si="75">SUM(G110:G115)</f>
        <v>7754592</v>
      </c>
      <c r="H116" s="32">
        <f t="shared" si="75"/>
        <v>7937249</v>
      </c>
      <c r="I116" s="34">
        <f>SUM(I110:I115)</f>
        <v>8818612</v>
      </c>
      <c r="J116" s="34">
        <f>SUM(J110:J115)</f>
        <v>8057796</v>
      </c>
      <c r="K116" s="309">
        <f>SUM(K110:K115)</f>
        <v>8034288</v>
      </c>
      <c r="L116" s="526">
        <f>SUM(L110:L115)</f>
        <v>9250745</v>
      </c>
      <c r="M116" s="309">
        <f>SUM(M110:M115)</f>
        <v>8121986</v>
      </c>
    </row>
    <row r="117" spans="1:13" ht="10.9" customHeight="1">
      <c r="A117" s="148" t="s">
        <v>155</v>
      </c>
      <c r="B117" s="38"/>
      <c r="C117" s="38">
        <f t="shared" ref="C117:G117" si="76">(C116-B116)/B116</f>
        <v>-3.4309237990859658E-2</v>
      </c>
      <c r="D117" s="38">
        <f t="shared" si="76"/>
        <v>0.20046987872131775</v>
      </c>
      <c r="E117" s="38">
        <f t="shared" si="76"/>
        <v>-0.11775855051993873</v>
      </c>
      <c r="F117" s="38">
        <f t="shared" si="76"/>
        <v>-1.9767569799215273E-2</v>
      </c>
      <c r="G117" s="38">
        <f t="shared" si="76"/>
        <v>0.14079051895091768</v>
      </c>
      <c r="H117" s="38">
        <f t="shared" ref="H117:J117" si="77">(H116-G116)/G116</f>
        <v>2.3554688628363685E-2</v>
      </c>
      <c r="I117" s="38">
        <f t="shared" si="77"/>
        <v>0.11104136962315281</v>
      </c>
      <c r="J117" s="38">
        <f t="shared" si="77"/>
        <v>-8.6273894349813779E-2</v>
      </c>
      <c r="K117" s="38">
        <f>(K116-J116)/J116</f>
        <v>-2.9174230769803554E-3</v>
      </c>
      <c r="L117" s="148">
        <f>(L116-K116)/K116</f>
        <v>0.15140818949980384</v>
      </c>
      <c r="M117" s="38">
        <f>(M116-L116)/L116</f>
        <v>-0.1220181725904238</v>
      </c>
    </row>
    <row r="118" spans="1:13" ht="13">
      <c r="A118" s="65" t="s">
        <v>79</v>
      </c>
      <c r="B118" s="33">
        <v>1105005</v>
      </c>
      <c r="C118" s="30">
        <v>991572</v>
      </c>
      <c r="D118" s="30">
        <v>936594</v>
      </c>
      <c r="E118" s="30">
        <v>1113026</v>
      </c>
      <c r="F118" s="30">
        <v>893341</v>
      </c>
      <c r="G118" s="33">
        <v>1029528</v>
      </c>
      <c r="H118" s="30">
        <v>1494953</v>
      </c>
      <c r="I118" s="30">
        <v>1540728</v>
      </c>
      <c r="J118" s="30">
        <v>1737038</v>
      </c>
      <c r="K118" s="308">
        <v>1787368</v>
      </c>
      <c r="L118" s="525">
        <f>86119+1922084+27052</f>
        <v>2035255</v>
      </c>
      <c r="M118" s="308">
        <v>1344858</v>
      </c>
    </row>
    <row r="119" spans="1:13" ht="13">
      <c r="A119" s="64" t="s">
        <v>96</v>
      </c>
      <c r="B119" s="34">
        <f>SUM(B116:B118)</f>
        <v>7885278</v>
      </c>
      <c r="C119" s="34">
        <f t="shared" ref="C119:F119" si="78">SUM(C116:C118)</f>
        <v>7539218.9656907618</v>
      </c>
      <c r="D119" s="34">
        <f t="shared" si="78"/>
        <v>8796847.2004698776</v>
      </c>
      <c r="E119" s="34">
        <f t="shared" si="78"/>
        <v>8047666.8822414493</v>
      </c>
      <c r="F119" s="34">
        <f t="shared" si="78"/>
        <v>7690900.9802324306</v>
      </c>
      <c r="G119" s="34">
        <f t="shared" ref="G119:J119" si="79">SUM(G116:G118)</f>
        <v>8784120.1407905184</v>
      </c>
      <c r="H119" s="37">
        <f t="shared" si="79"/>
        <v>9432202.0235546883</v>
      </c>
      <c r="I119" s="34">
        <f t="shared" si="79"/>
        <v>10359340.111041369</v>
      </c>
      <c r="J119" s="34">
        <f t="shared" si="79"/>
        <v>9794833.9137261063</v>
      </c>
      <c r="K119" s="66">
        <f>SUM(K116+K118)</f>
        <v>9821656</v>
      </c>
      <c r="L119" s="527">
        <f>SUM(L116+L118)</f>
        <v>11286000</v>
      </c>
      <c r="M119" s="66">
        <f>SUM(M116+M118)</f>
        <v>9466844</v>
      </c>
    </row>
    <row r="120" spans="1:13" ht="10.9" customHeight="1">
      <c r="A120" s="148" t="s">
        <v>155</v>
      </c>
      <c r="B120" s="38"/>
      <c r="C120" s="38">
        <f t="shared" ref="C120:G120" si="80">(C119-B119)/B119</f>
        <v>-4.3886725909883989E-2</v>
      </c>
      <c r="D120" s="38">
        <f t="shared" si="80"/>
        <v>0.16681147483609249</v>
      </c>
      <c r="E120" s="38">
        <f t="shared" si="80"/>
        <v>-8.5164639234430642E-2</v>
      </c>
      <c r="F120" s="38">
        <f t="shared" si="80"/>
        <v>-4.4331594141437884E-2</v>
      </c>
      <c r="G120" s="38">
        <f t="shared" si="80"/>
        <v>0.14214448519984052</v>
      </c>
      <c r="H120" s="38">
        <f t="shared" ref="H120:J120" si="81">(H119-G119)/G119</f>
        <v>7.3778804521888799E-2</v>
      </c>
      <c r="I120" s="38">
        <f t="shared" si="81"/>
        <v>9.8294977691463031E-2</v>
      </c>
      <c r="J120" s="38">
        <f t="shared" si="81"/>
        <v>-5.4492486129844406E-2</v>
      </c>
      <c r="K120" s="38">
        <f>(K119-J119)/J119</f>
        <v>2.7383911263984032E-3</v>
      </c>
      <c r="L120" s="148">
        <f>(L119-K119)/K119</f>
        <v>0.14909339117558179</v>
      </c>
      <c r="M120" s="38">
        <f>(M119-L119)/L119</f>
        <v>-0.16118695729222046</v>
      </c>
    </row>
    <row r="121" spans="1:13" ht="13">
      <c r="A121" s="65" t="s">
        <v>58</v>
      </c>
      <c r="B121" s="33">
        <v>-65158</v>
      </c>
      <c r="C121" s="30">
        <v>-50239</v>
      </c>
      <c r="D121" s="30">
        <v>88832</v>
      </c>
      <c r="E121" s="30">
        <v>36664</v>
      </c>
      <c r="F121" s="30">
        <v>145865</v>
      </c>
      <c r="G121" s="354">
        <v>-978</v>
      </c>
      <c r="H121" s="30">
        <v>5696</v>
      </c>
      <c r="I121" s="30">
        <v>46617</v>
      </c>
      <c r="J121" s="30">
        <v>37928</v>
      </c>
      <c r="K121" s="306">
        <v>11719</v>
      </c>
      <c r="L121" s="522">
        <v>-77222</v>
      </c>
      <c r="M121" s="306">
        <v>14822</v>
      </c>
    </row>
    <row r="122" spans="1:13" ht="13">
      <c r="A122" s="64" t="s">
        <v>81</v>
      </c>
      <c r="B122" s="62"/>
      <c r="C122" s="746"/>
      <c r="D122" s="746"/>
      <c r="E122" s="30"/>
      <c r="F122" s="53"/>
      <c r="G122" s="34"/>
      <c r="H122" s="50"/>
      <c r="I122" s="50"/>
      <c r="J122" s="53"/>
      <c r="K122" s="310"/>
      <c r="L122" s="490"/>
      <c r="M122" s="310"/>
    </row>
    <row r="123" spans="1:13" ht="13">
      <c r="A123" s="65" t="s">
        <v>93</v>
      </c>
      <c r="B123" s="33">
        <v>258454</v>
      </c>
      <c r="C123" s="30">
        <v>291587</v>
      </c>
      <c r="D123" s="30">
        <v>252694</v>
      </c>
      <c r="E123" s="30">
        <v>241219</v>
      </c>
      <c r="F123" s="30">
        <v>257012</v>
      </c>
      <c r="G123" s="33">
        <v>258980</v>
      </c>
      <c r="H123" s="30">
        <v>265364</v>
      </c>
      <c r="I123" s="30">
        <v>270383</v>
      </c>
      <c r="J123" s="30">
        <v>258767</v>
      </c>
      <c r="K123" s="306">
        <v>270229</v>
      </c>
      <c r="L123" s="522">
        <v>288697</v>
      </c>
      <c r="M123" s="306">
        <v>284672</v>
      </c>
    </row>
    <row r="124" spans="1:13" ht="13">
      <c r="A124" s="65" t="s">
        <v>178</v>
      </c>
      <c r="B124" s="33">
        <v>3322043</v>
      </c>
      <c r="C124" s="30">
        <v>3505675</v>
      </c>
      <c r="D124" s="30">
        <v>3300151</v>
      </c>
      <c r="E124" s="30">
        <v>3238560</v>
      </c>
      <c r="F124" s="30">
        <v>3275063</v>
      </c>
      <c r="G124" s="33">
        <v>3143719</v>
      </c>
      <c r="H124" s="30">
        <v>3089459</v>
      </c>
      <c r="I124" s="30">
        <v>3198971</v>
      </c>
      <c r="J124" s="30">
        <v>3297907</v>
      </c>
      <c r="K124" s="306">
        <v>3513593</v>
      </c>
      <c r="L124" s="522">
        <v>3484474</v>
      </c>
      <c r="M124" s="306">
        <v>3604714</v>
      </c>
    </row>
    <row r="125" spans="1:13" ht="13">
      <c r="A125" s="65" t="s">
        <v>82</v>
      </c>
      <c r="B125" s="33">
        <v>781269</v>
      </c>
      <c r="C125" s="30">
        <v>515165</v>
      </c>
      <c r="D125" s="30">
        <v>424729</v>
      </c>
      <c r="E125" s="30">
        <v>630027</v>
      </c>
      <c r="F125" s="30">
        <v>625548</v>
      </c>
      <c r="G125" s="33">
        <v>522771</v>
      </c>
      <c r="H125" s="30">
        <v>638453</v>
      </c>
      <c r="I125" s="30">
        <v>557601</v>
      </c>
      <c r="J125" s="30">
        <v>713454</v>
      </c>
      <c r="K125" s="306">
        <v>558843</v>
      </c>
      <c r="L125" s="522">
        <f>211764+356904</f>
        <v>568668</v>
      </c>
      <c r="M125" s="306">
        <v>784527</v>
      </c>
    </row>
    <row r="126" spans="1:13" ht="13">
      <c r="A126" s="65" t="s">
        <v>83</v>
      </c>
      <c r="B126" s="33">
        <v>35147</v>
      </c>
      <c r="C126" s="30">
        <v>36594</v>
      </c>
      <c r="D126" s="30">
        <v>33690</v>
      </c>
      <c r="E126" s="30">
        <v>31986</v>
      </c>
      <c r="F126" s="30">
        <v>29748</v>
      </c>
      <c r="G126" s="33">
        <v>28182</v>
      </c>
      <c r="H126" s="30">
        <v>38238</v>
      </c>
      <c r="I126" s="30">
        <v>54739</v>
      </c>
      <c r="J126" s="30">
        <v>194560</v>
      </c>
      <c r="K126" s="306">
        <v>414215</v>
      </c>
      <c r="L126" s="522">
        <v>343280</v>
      </c>
      <c r="M126" s="306">
        <v>71599</v>
      </c>
    </row>
    <row r="127" spans="1:13" ht="13">
      <c r="A127" s="64" t="s">
        <v>84</v>
      </c>
      <c r="B127" s="34">
        <f>SUM(B123:B126)</f>
        <v>4396913</v>
      </c>
      <c r="C127" s="34">
        <f t="shared" ref="C127:F127" si="82">SUM(C123:C126)</f>
        <v>4349021</v>
      </c>
      <c r="D127" s="34">
        <f t="shared" si="82"/>
        <v>4011264</v>
      </c>
      <c r="E127" s="34">
        <f t="shared" si="82"/>
        <v>4141792</v>
      </c>
      <c r="F127" s="34">
        <f t="shared" si="82"/>
        <v>4187371</v>
      </c>
      <c r="G127" s="34">
        <f t="shared" ref="G127:J127" si="83">SUM(G123:G126)</f>
        <v>3953652</v>
      </c>
      <c r="H127" s="37">
        <f t="shared" si="83"/>
        <v>4031514</v>
      </c>
      <c r="I127" s="37">
        <f t="shared" si="83"/>
        <v>4081694</v>
      </c>
      <c r="J127" s="37">
        <f t="shared" si="83"/>
        <v>4464688</v>
      </c>
      <c r="K127" s="34">
        <f>SUM(K123:K126)</f>
        <v>4756880</v>
      </c>
      <c r="L127" s="489">
        <f>SUM(L123:L126)</f>
        <v>4685119</v>
      </c>
      <c r="M127" s="34">
        <f>SUM(M123:M126)</f>
        <v>4745512</v>
      </c>
    </row>
    <row r="128" spans="1:13" ht="10.9" customHeight="1">
      <c r="A128" s="148" t="s">
        <v>155</v>
      </c>
      <c r="B128" s="38"/>
      <c r="C128" s="38">
        <f t="shared" ref="C128:G128" si="84">(C127-B127)/B127</f>
        <v>-1.0892187314145175E-2</v>
      </c>
      <c r="D128" s="38">
        <f t="shared" si="84"/>
        <v>-7.7662765942036152E-2</v>
      </c>
      <c r="E128" s="38">
        <f t="shared" si="84"/>
        <v>3.2540366328419175E-2</v>
      </c>
      <c r="F128" s="38">
        <f t="shared" si="84"/>
        <v>1.1004656921448494E-2</v>
      </c>
      <c r="G128" s="38">
        <f t="shared" si="84"/>
        <v>-5.5815211979067532E-2</v>
      </c>
      <c r="H128" s="38">
        <f t="shared" ref="H128:J128" si="85">(H127-G127)/G127</f>
        <v>1.9693690795244499E-2</v>
      </c>
      <c r="I128" s="38">
        <f t="shared" si="85"/>
        <v>1.2446936808355373E-2</v>
      </c>
      <c r="J128" s="38">
        <f t="shared" si="85"/>
        <v>9.383211970324086E-2</v>
      </c>
      <c r="K128" s="38">
        <f>(K127-J127)/J127</f>
        <v>6.5445110610192689E-2</v>
      </c>
      <c r="L128" s="148">
        <f>(L127-K127)/K127</f>
        <v>-1.50857284606717E-2</v>
      </c>
      <c r="M128" s="38">
        <f>(M127-L127)/L127</f>
        <v>1.289038762942841E-2</v>
      </c>
    </row>
    <row r="129" spans="1:13" ht="13">
      <c r="A129" s="65" t="s">
        <v>85</v>
      </c>
      <c r="B129" s="33">
        <v>75240</v>
      </c>
      <c r="C129" s="30">
        <v>54899</v>
      </c>
      <c r="D129" s="30">
        <v>48313</v>
      </c>
      <c r="E129" s="30">
        <v>50667</v>
      </c>
      <c r="F129" s="30">
        <v>48267</v>
      </c>
      <c r="G129" s="33">
        <v>58847</v>
      </c>
      <c r="H129" s="30">
        <v>56275</v>
      </c>
      <c r="I129" s="30">
        <v>53581</v>
      </c>
      <c r="J129" s="30">
        <v>55952</v>
      </c>
      <c r="K129" s="306">
        <v>47906</v>
      </c>
      <c r="L129" s="522">
        <v>43821</v>
      </c>
      <c r="M129" s="306">
        <v>45273</v>
      </c>
    </row>
    <row r="130" spans="1:13" ht="13">
      <c r="A130" s="65" t="s">
        <v>86</v>
      </c>
      <c r="B130" s="33">
        <v>1034571</v>
      </c>
      <c r="C130" s="30">
        <v>975109</v>
      </c>
      <c r="D130" s="30">
        <v>1206616</v>
      </c>
      <c r="E130" s="30">
        <v>1165297</v>
      </c>
      <c r="F130" s="30">
        <v>1485463</v>
      </c>
      <c r="G130" s="33">
        <v>1471551</v>
      </c>
      <c r="H130" s="30">
        <v>1476638</v>
      </c>
      <c r="I130" s="30">
        <v>1751216</v>
      </c>
      <c r="J130" s="30">
        <v>1884028</v>
      </c>
      <c r="K130" s="306">
        <v>2009782</v>
      </c>
      <c r="L130" s="522">
        <f>1577749+390442</f>
        <v>1968191</v>
      </c>
      <c r="M130" s="306">
        <v>2552537</v>
      </c>
    </row>
    <row r="131" spans="1:13" ht="13">
      <c r="A131" s="64" t="s">
        <v>87</v>
      </c>
      <c r="B131" s="33">
        <f>SUM(B129:B130)</f>
        <v>1109811</v>
      </c>
      <c r="C131" s="33">
        <f t="shared" ref="C131:F131" si="86">SUM(C129:C130)</f>
        <v>1030008</v>
      </c>
      <c r="D131" s="33">
        <f t="shared" si="86"/>
        <v>1254929</v>
      </c>
      <c r="E131" s="33">
        <f t="shared" si="86"/>
        <v>1215964</v>
      </c>
      <c r="F131" s="33">
        <f t="shared" si="86"/>
        <v>1533730</v>
      </c>
      <c r="G131" s="33">
        <f t="shared" ref="G131:K131" si="87">SUM(G129:G130)</f>
        <v>1530398</v>
      </c>
      <c r="H131" s="32">
        <f t="shared" si="87"/>
        <v>1532913</v>
      </c>
      <c r="I131" s="32">
        <f t="shared" si="87"/>
        <v>1804797</v>
      </c>
      <c r="J131" s="32">
        <f t="shared" si="87"/>
        <v>1939980</v>
      </c>
      <c r="K131" s="307">
        <f t="shared" si="87"/>
        <v>2057688</v>
      </c>
      <c r="L131" s="523">
        <f t="shared" ref="L131:M131" si="88">SUM(L129:L130)</f>
        <v>2012012</v>
      </c>
      <c r="M131" s="307">
        <f t="shared" si="88"/>
        <v>2597810</v>
      </c>
    </row>
    <row r="132" spans="1:13" ht="10.9" customHeight="1">
      <c r="A132" s="148" t="s">
        <v>155</v>
      </c>
      <c r="B132" s="38"/>
      <c r="C132" s="38">
        <f t="shared" ref="C132:G132" si="89">(C131-B131)/B131</f>
        <v>-7.1906838191367714E-2</v>
      </c>
      <c r="D132" s="38">
        <f t="shared" si="89"/>
        <v>0.21836820684887884</v>
      </c>
      <c r="E132" s="38">
        <f t="shared" si="89"/>
        <v>-3.1049565353896514E-2</v>
      </c>
      <c r="F132" s="38">
        <f t="shared" si="89"/>
        <v>0.26132846038205076</v>
      </c>
      <c r="G132" s="38">
        <f t="shared" si="89"/>
        <v>-2.1724814667509929E-3</v>
      </c>
      <c r="H132" s="38">
        <f t="shared" ref="H132:J132" si="90">(H131-G131)/G131</f>
        <v>1.6433633603807638E-3</v>
      </c>
      <c r="I132" s="38">
        <f t="shared" si="90"/>
        <v>0.17736427311921812</v>
      </c>
      <c r="J132" s="38">
        <f t="shared" si="90"/>
        <v>7.4902052696231208E-2</v>
      </c>
      <c r="K132" s="38">
        <f>(K131-J131)/J131</f>
        <v>6.0674852318065138E-2</v>
      </c>
      <c r="L132" s="148">
        <f>(L131-K131)/K131</f>
        <v>-2.2197728713002164E-2</v>
      </c>
      <c r="M132" s="38">
        <f>(M131-L131)/L131</f>
        <v>0.29115035099194242</v>
      </c>
    </row>
    <row r="133" spans="1:13" ht="13">
      <c r="A133" s="64" t="s">
        <v>26</v>
      </c>
      <c r="B133" s="34">
        <f>SUM(B131,B127)</f>
        <v>5506724</v>
      </c>
      <c r="C133" s="34">
        <f t="shared" ref="C133:F133" si="91">SUM(C131,C127)</f>
        <v>5379029</v>
      </c>
      <c r="D133" s="34">
        <f t="shared" si="91"/>
        <v>5266193</v>
      </c>
      <c r="E133" s="34">
        <f t="shared" si="91"/>
        <v>5357756</v>
      </c>
      <c r="F133" s="34">
        <f t="shared" si="91"/>
        <v>5721101</v>
      </c>
      <c r="G133" s="34">
        <f t="shared" ref="G133:J133" si="92">SUM(G131,G127)</f>
        <v>5484050</v>
      </c>
      <c r="H133" s="37">
        <f t="shared" si="92"/>
        <v>5564427</v>
      </c>
      <c r="I133" s="37">
        <f t="shared" si="92"/>
        <v>5886491</v>
      </c>
      <c r="J133" s="37">
        <f t="shared" si="92"/>
        <v>6404668</v>
      </c>
      <c r="K133" s="34">
        <f>SUM(K131,K127)</f>
        <v>6814568</v>
      </c>
      <c r="L133" s="489">
        <f>SUM(L131,L127)</f>
        <v>6697131</v>
      </c>
      <c r="M133" s="34">
        <f>SUM(M131,M127)</f>
        <v>7343322</v>
      </c>
    </row>
    <row r="134" spans="1:13" ht="13">
      <c r="A134" s="65" t="s">
        <v>60</v>
      </c>
      <c r="B134" s="33">
        <v>100424</v>
      </c>
      <c r="C134" s="30">
        <v>1871</v>
      </c>
      <c r="D134" s="30">
        <v>157170</v>
      </c>
      <c r="E134" s="30">
        <v>240890</v>
      </c>
      <c r="F134" s="30">
        <v>220834</v>
      </c>
      <c r="G134" s="33">
        <v>370353</v>
      </c>
      <c r="H134" s="30">
        <v>336023</v>
      </c>
      <c r="I134" s="30">
        <v>331489</v>
      </c>
      <c r="J134" s="30">
        <v>373290</v>
      </c>
      <c r="K134" s="306">
        <v>40595</v>
      </c>
      <c r="L134" s="522">
        <v>128220</v>
      </c>
      <c r="M134" s="306">
        <v>86364</v>
      </c>
    </row>
    <row r="135" spans="1:13" ht="13">
      <c r="A135" s="64" t="s">
        <v>88</v>
      </c>
      <c r="B135" s="34">
        <f>SUM(B133:B134)</f>
        <v>5607148</v>
      </c>
      <c r="C135" s="34">
        <f t="shared" ref="C135:F135" si="93">SUM(C133:C134)</f>
        <v>5380900</v>
      </c>
      <c r="D135" s="34">
        <f t="shared" si="93"/>
        <v>5423363</v>
      </c>
      <c r="E135" s="34">
        <f t="shared" si="93"/>
        <v>5598646</v>
      </c>
      <c r="F135" s="34">
        <f t="shared" si="93"/>
        <v>5941935</v>
      </c>
      <c r="G135" s="34">
        <f t="shared" ref="G135:H135" si="94">SUM(G133:G134)</f>
        <v>5854403</v>
      </c>
      <c r="H135" s="37">
        <f t="shared" si="94"/>
        <v>5900450</v>
      </c>
      <c r="I135" s="37">
        <f>SUM(I133:I134)</f>
        <v>6217980</v>
      </c>
      <c r="J135" s="37">
        <f>SUM(J133:J134)</f>
        <v>6777958</v>
      </c>
      <c r="K135" s="34">
        <f>SUM(K133:K134)</f>
        <v>6855163</v>
      </c>
      <c r="L135" s="489">
        <f>SUM(L133:L134)</f>
        <v>6825351</v>
      </c>
      <c r="M135" s="34">
        <f>SUM(M133:M134)</f>
        <v>7429686</v>
      </c>
    </row>
    <row r="136" spans="1:13" ht="10.9" customHeight="1">
      <c r="A136" s="148" t="s">
        <v>155</v>
      </c>
      <c r="B136" s="38"/>
      <c r="C136" s="38">
        <f t="shared" ref="C136:G136" si="95">(C135-B135)/B135</f>
        <v>-4.0349924774591289E-2</v>
      </c>
      <c r="D136" s="38">
        <f t="shared" si="95"/>
        <v>7.8914308015387759E-3</v>
      </c>
      <c r="E136" s="38">
        <f t="shared" si="95"/>
        <v>3.2319983006853868E-2</v>
      </c>
      <c r="F136" s="38">
        <f t="shared" si="95"/>
        <v>6.1316432580306023E-2</v>
      </c>
      <c r="G136" s="38">
        <f t="shared" si="95"/>
        <v>-1.4731228126864396E-2</v>
      </c>
      <c r="H136" s="38">
        <f t="shared" ref="H136:J136" si="96">(H135-G135)/G135</f>
        <v>7.8653621897911714E-3</v>
      </c>
      <c r="I136" s="38">
        <f t="shared" si="96"/>
        <v>5.3814539569015919E-2</v>
      </c>
      <c r="J136" s="38">
        <f t="shared" si="96"/>
        <v>9.0057864451156169E-2</v>
      </c>
      <c r="K136" s="38">
        <f>(K135-J135)/J135</f>
        <v>1.1390598761455884E-2</v>
      </c>
      <c r="L136" s="148">
        <f>(L135-K135)/K135</f>
        <v>-4.3488389699851042E-3</v>
      </c>
      <c r="M136" s="38">
        <f>(M135-L135)/L135</f>
        <v>8.8542699122726429E-2</v>
      </c>
    </row>
    <row r="137" spans="1:13" ht="13">
      <c r="A137" s="64" t="s">
        <v>89</v>
      </c>
      <c r="B137" s="62"/>
      <c r="C137" s="746"/>
      <c r="D137" s="746"/>
      <c r="E137" s="30"/>
      <c r="F137" s="53"/>
      <c r="G137" s="34"/>
      <c r="H137" s="50"/>
      <c r="I137" s="50"/>
      <c r="J137" s="53"/>
      <c r="K137" s="308"/>
      <c r="L137" s="525"/>
      <c r="M137" s="308"/>
    </row>
    <row r="138" spans="1:13" ht="13">
      <c r="A138" s="65" t="s">
        <v>228</v>
      </c>
      <c r="B138" s="62"/>
      <c r="C138" s="746"/>
      <c r="D138" s="746"/>
      <c r="E138" s="30"/>
      <c r="F138" s="53"/>
      <c r="G138" s="34"/>
      <c r="H138" s="50"/>
      <c r="I138" s="50"/>
      <c r="J138" s="53"/>
      <c r="K138" s="308"/>
      <c r="L138" s="525">
        <v>758</v>
      </c>
      <c r="M138" s="308">
        <v>0</v>
      </c>
    </row>
    <row r="139" spans="1:13" ht="13">
      <c r="A139" s="65" t="s">
        <v>65</v>
      </c>
      <c r="B139" s="33">
        <v>3174181</v>
      </c>
      <c r="C139" s="30">
        <v>3333880</v>
      </c>
      <c r="D139" s="30">
        <v>4065696</v>
      </c>
      <c r="E139" s="30">
        <v>3987855</v>
      </c>
      <c r="F139" s="30">
        <v>3685468</v>
      </c>
      <c r="G139" s="33">
        <v>4080775</v>
      </c>
      <c r="H139" s="30">
        <v>4978155</v>
      </c>
      <c r="I139" s="30">
        <v>5136734</v>
      </c>
      <c r="J139" s="30">
        <v>5192080</v>
      </c>
      <c r="K139" s="308">
        <v>5110324</v>
      </c>
      <c r="L139" s="525">
        <v>6901820</v>
      </c>
      <c r="M139" s="308">
        <v>5422649</v>
      </c>
    </row>
    <row r="140" spans="1:13" ht="13">
      <c r="A140" s="65" t="s">
        <v>66</v>
      </c>
      <c r="B140" s="33">
        <v>2075744</v>
      </c>
      <c r="C140" s="30">
        <v>1856206</v>
      </c>
      <c r="D140" s="30">
        <v>2395519</v>
      </c>
      <c r="E140" s="30">
        <v>2881209</v>
      </c>
      <c r="F140" s="30">
        <v>1079044</v>
      </c>
      <c r="G140" s="33">
        <v>1084060</v>
      </c>
      <c r="H140" s="30">
        <v>1259884</v>
      </c>
      <c r="I140" s="30">
        <v>1761852</v>
      </c>
      <c r="J140" s="30">
        <v>1896766</v>
      </c>
      <c r="K140" s="308">
        <v>2018119</v>
      </c>
      <c r="L140" s="525">
        <v>1959327</v>
      </c>
      <c r="M140" s="308">
        <v>2460504</v>
      </c>
    </row>
    <row r="141" spans="1:13" ht="13">
      <c r="A141" s="65" t="s">
        <v>67</v>
      </c>
      <c r="B141" s="30">
        <v>0</v>
      </c>
      <c r="C141" s="30">
        <v>0</v>
      </c>
      <c r="D141" s="30">
        <v>0</v>
      </c>
      <c r="E141" s="30">
        <v>0</v>
      </c>
      <c r="F141" s="30">
        <v>1752291</v>
      </c>
      <c r="G141" s="33">
        <v>1865436</v>
      </c>
      <c r="H141" s="30">
        <v>1894432</v>
      </c>
      <c r="I141" s="30">
        <v>3085005</v>
      </c>
      <c r="J141" s="30">
        <v>3454730</v>
      </c>
      <c r="K141" s="308">
        <v>3564817</v>
      </c>
      <c r="L141" s="525">
        <v>3824301</v>
      </c>
      <c r="M141" s="308">
        <v>4168010</v>
      </c>
    </row>
    <row r="142" spans="1:13" ht="13">
      <c r="A142" s="64" t="s">
        <v>90</v>
      </c>
      <c r="B142" s="34">
        <f>SUM(B139:B141)</f>
        <v>5249925</v>
      </c>
      <c r="C142" s="34">
        <f t="shared" ref="C142:F142" si="97">SUM(C139:C141)</f>
        <v>5190086</v>
      </c>
      <c r="D142" s="34">
        <f t="shared" si="97"/>
        <v>6461215</v>
      </c>
      <c r="E142" s="34">
        <f t="shared" si="97"/>
        <v>6869064</v>
      </c>
      <c r="F142" s="34">
        <f t="shared" si="97"/>
        <v>6516803</v>
      </c>
      <c r="G142" s="34">
        <f t="shared" ref="G142:J142" si="98">SUM(G139:G141)</f>
        <v>7030271</v>
      </c>
      <c r="H142" s="34">
        <f t="shared" si="98"/>
        <v>8132471</v>
      </c>
      <c r="I142" s="34">
        <f t="shared" si="98"/>
        <v>9983591</v>
      </c>
      <c r="J142" s="34">
        <f t="shared" si="98"/>
        <v>10543576</v>
      </c>
      <c r="K142" s="309">
        <f>SUM(K139:K141)</f>
        <v>10693260</v>
      </c>
      <c r="L142" s="526">
        <f>SUM(L138:L141)</f>
        <v>12686206</v>
      </c>
      <c r="M142" s="309">
        <f>SUM(M138:M141)</f>
        <v>12051163</v>
      </c>
    </row>
    <row r="143" spans="1:13" ht="10.9" customHeight="1">
      <c r="A143" s="148" t="s">
        <v>155</v>
      </c>
      <c r="B143" s="38"/>
      <c r="C143" s="38">
        <f t="shared" ref="C143:G143" si="99">(C142-B142)/B142</f>
        <v>-1.1398067591441782E-2</v>
      </c>
      <c r="D143" s="38">
        <f t="shared" si="99"/>
        <v>0.24491482414742261</v>
      </c>
      <c r="E143" s="38">
        <f t="shared" si="99"/>
        <v>6.3122647984937816E-2</v>
      </c>
      <c r="F143" s="38">
        <f t="shared" si="99"/>
        <v>-5.1282241656214006E-2</v>
      </c>
      <c r="G143" s="38">
        <f t="shared" si="99"/>
        <v>7.8791395105851744E-2</v>
      </c>
      <c r="H143" s="38">
        <f t="shared" ref="H143:J143" si="100">(H142-G142)/G142</f>
        <v>0.1567791625671329</v>
      </c>
      <c r="I143" s="38">
        <f t="shared" si="100"/>
        <v>0.22762085471930979</v>
      </c>
      <c r="J143" s="38">
        <f t="shared" si="100"/>
        <v>5.6090538965388306E-2</v>
      </c>
      <c r="K143" s="38">
        <f>(K142-J142)/J142</f>
        <v>1.4196701384805306E-2</v>
      </c>
      <c r="L143" s="148">
        <f>(L142-K142)/K142</f>
        <v>0.18637403373713909</v>
      </c>
      <c r="M143" s="38">
        <f>(M142-L142)/L142</f>
        <v>-5.0057755644201271E-2</v>
      </c>
    </row>
    <row r="144" spans="1:13" ht="13">
      <c r="A144" s="69" t="s">
        <v>91</v>
      </c>
      <c r="B144" s="68">
        <f t="shared" ref="B144:I144" si="101">SUM(B107+B119+B121-B135)</f>
        <v>5249925</v>
      </c>
      <c r="C144" s="68">
        <f t="shared" si="101"/>
        <v>5190085.9656907618</v>
      </c>
      <c r="D144" s="68">
        <f t="shared" si="101"/>
        <v>6461215.2004698776</v>
      </c>
      <c r="E144" s="68">
        <f t="shared" si="101"/>
        <v>6869063.8822414503</v>
      </c>
      <c r="F144" s="68">
        <f t="shared" si="101"/>
        <v>6516802.9802324306</v>
      </c>
      <c r="G144" s="68">
        <f t="shared" si="101"/>
        <v>7030271.1407905184</v>
      </c>
      <c r="H144" s="68">
        <f t="shared" si="101"/>
        <v>8132471.0235546883</v>
      </c>
      <c r="I144" s="68">
        <f t="shared" si="101"/>
        <v>9983591.1110413689</v>
      </c>
      <c r="J144" s="68">
        <f>SUM(J107+J119+J121-J135)</f>
        <v>10543575.913726106</v>
      </c>
      <c r="K144" s="68">
        <f>SUM(K107+K119+K121-K135)</f>
        <v>10693260</v>
      </c>
      <c r="L144" s="528">
        <f>SUM(L107+L119+L121-L135)</f>
        <v>12686206</v>
      </c>
      <c r="M144" s="68">
        <f>SUM(M107+M119+M121-M135)</f>
        <v>12051163</v>
      </c>
    </row>
    <row r="145" spans="1:13" ht="12" customHeight="1">
      <c r="A145" s="161" t="s">
        <v>175</v>
      </c>
      <c r="B145" s="162">
        <f>SUM(B142/B135)</f>
        <v>0.93629149792372168</v>
      </c>
      <c r="C145" s="162">
        <f t="shared" ref="C145:F145" si="102">SUM(C142/C135)</f>
        <v>0.9645386459514208</v>
      </c>
      <c r="D145" s="162">
        <f t="shared" si="102"/>
        <v>1.191366869597333</v>
      </c>
      <c r="E145" s="162">
        <f t="shared" si="102"/>
        <v>1.2269152220018911</v>
      </c>
      <c r="F145" s="162">
        <f t="shared" si="102"/>
        <v>1.0967476083127803</v>
      </c>
      <c r="G145" s="162">
        <f t="shared" ref="G145:J145" si="103">SUM(G142/G135)</f>
        <v>1.2008519058219942</v>
      </c>
      <c r="H145" s="162">
        <f t="shared" si="103"/>
        <v>1.3782797922192376</v>
      </c>
      <c r="I145" s="162">
        <f t="shared" si="103"/>
        <v>1.6056003718249334</v>
      </c>
      <c r="J145" s="162">
        <f t="shared" si="103"/>
        <v>1.5555682109567512</v>
      </c>
      <c r="K145" s="162">
        <f>SUM(K142/K135)</f>
        <v>1.5598841340461196</v>
      </c>
      <c r="L145" s="529">
        <f>SUM(L142/L135)</f>
        <v>1.8586891721759071</v>
      </c>
      <c r="M145" s="162">
        <f>SUM(M142/M135)</f>
        <v>1.6220285756356325</v>
      </c>
    </row>
    <row r="146" spans="1:13" s="149" customFormat="1" ht="9" customHeight="1">
      <c r="A146" s="155"/>
      <c r="B146" s="172"/>
      <c r="C146" s="172"/>
      <c r="D146" s="172"/>
      <c r="E146" s="172"/>
      <c r="F146" s="747"/>
      <c r="G146" s="157"/>
      <c r="H146" s="157"/>
      <c r="I146" s="157"/>
      <c r="J146" s="158"/>
      <c r="K146" s="265"/>
      <c r="L146" s="518"/>
      <c r="M146" s="691"/>
    </row>
    <row r="147" spans="1:13" ht="13">
      <c r="A147" s="126"/>
      <c r="B147" s="18" t="s">
        <v>118</v>
      </c>
      <c r="C147" s="70" t="s">
        <v>307</v>
      </c>
      <c r="D147" s="19" t="s">
        <v>316</v>
      </c>
      <c r="E147" s="70" t="s">
        <v>309</v>
      </c>
      <c r="F147" s="741" t="s">
        <v>322</v>
      </c>
      <c r="G147" s="71" t="s">
        <v>123</v>
      </c>
      <c r="H147" s="72" t="s">
        <v>122</v>
      </c>
      <c r="I147" s="70" t="s">
        <v>160</v>
      </c>
      <c r="J147" s="73" t="s">
        <v>159</v>
      </c>
      <c r="K147" s="311" t="s">
        <v>213</v>
      </c>
      <c r="L147" s="530" t="str">
        <f>L2</f>
        <v>CY'2016</v>
      </c>
      <c r="M147" s="711" t="str">
        <f>M2</f>
        <v>CY'2017</v>
      </c>
    </row>
    <row r="148" spans="1:13" ht="13">
      <c r="A148" s="164" t="s">
        <v>97</v>
      </c>
      <c r="B148" s="61" t="s">
        <v>133</v>
      </c>
      <c r="C148" s="145" t="s">
        <v>327</v>
      </c>
      <c r="D148" s="61" t="s">
        <v>328</v>
      </c>
      <c r="E148" s="145" t="s">
        <v>329</v>
      </c>
      <c r="F148" s="61" t="s">
        <v>330</v>
      </c>
      <c r="G148" s="145" t="s">
        <v>132</v>
      </c>
      <c r="H148" s="137" t="s">
        <v>131</v>
      </c>
      <c r="I148" s="145" t="s">
        <v>166</v>
      </c>
      <c r="J148" s="142" t="s">
        <v>165</v>
      </c>
      <c r="K148" s="312" t="s">
        <v>216</v>
      </c>
      <c r="L148" s="531" t="s">
        <v>224</v>
      </c>
      <c r="M148" s="712" t="s">
        <v>239</v>
      </c>
    </row>
    <row r="149" spans="1:13" ht="13">
      <c r="A149" s="92" t="s">
        <v>64</v>
      </c>
      <c r="B149" s="25"/>
      <c r="C149" s="75"/>
      <c r="D149" s="25"/>
      <c r="E149" s="75"/>
      <c r="F149" s="25"/>
      <c r="G149" s="75"/>
      <c r="H149" s="76"/>
      <c r="I149" s="75"/>
      <c r="J149" s="25"/>
      <c r="K149" s="313"/>
      <c r="L149" s="532"/>
      <c r="M149" s="713"/>
    </row>
    <row r="150" spans="1:13" ht="13">
      <c r="A150" s="65" t="s">
        <v>228</v>
      </c>
      <c r="B150" s="25"/>
      <c r="C150" s="75"/>
      <c r="D150" s="25"/>
      <c r="E150" s="75"/>
      <c r="F150" s="25"/>
      <c r="G150" s="75"/>
      <c r="H150" s="76"/>
      <c r="I150" s="75"/>
      <c r="J150" s="25"/>
      <c r="K150" s="313"/>
      <c r="L150" s="521">
        <v>758</v>
      </c>
      <c r="M150" s="714">
        <v>0</v>
      </c>
    </row>
    <row r="151" spans="1:13" ht="13">
      <c r="A151" s="65" t="s">
        <v>65</v>
      </c>
      <c r="B151" s="30">
        <v>3174181</v>
      </c>
      <c r="C151" s="77">
        <v>3333880</v>
      </c>
      <c r="D151" s="30">
        <v>4065696</v>
      </c>
      <c r="E151" s="77">
        <v>3987855</v>
      </c>
      <c r="F151" s="30">
        <v>3685468</v>
      </c>
      <c r="G151" s="77">
        <v>4080775</v>
      </c>
      <c r="H151" s="78">
        <v>4978155</v>
      </c>
      <c r="I151" s="77">
        <v>5136734</v>
      </c>
      <c r="J151" s="255">
        <v>5192080</v>
      </c>
      <c r="K151" s="314">
        <v>5110324</v>
      </c>
      <c r="L151" s="525">
        <v>6901820</v>
      </c>
      <c r="M151" s="715">
        <v>5422649</v>
      </c>
    </row>
    <row r="152" spans="1:13" ht="13">
      <c r="A152" s="65" t="s">
        <v>66</v>
      </c>
      <c r="B152" s="30">
        <v>2075744</v>
      </c>
      <c r="C152" s="77">
        <v>1856206</v>
      </c>
      <c r="D152" s="30">
        <v>2395519</v>
      </c>
      <c r="E152" s="77">
        <v>2881209</v>
      </c>
      <c r="F152" s="30">
        <v>1079044</v>
      </c>
      <c r="G152" s="77">
        <v>1084060</v>
      </c>
      <c r="H152" s="78">
        <v>1259884</v>
      </c>
      <c r="I152" s="77">
        <v>1761852</v>
      </c>
      <c r="J152" s="255">
        <v>1896766</v>
      </c>
      <c r="K152" s="314">
        <v>2018119</v>
      </c>
      <c r="L152" s="525">
        <v>1959327</v>
      </c>
      <c r="M152" s="715">
        <v>2460504</v>
      </c>
    </row>
    <row r="153" spans="1:13" ht="13">
      <c r="A153" s="65" t="s">
        <v>67</v>
      </c>
      <c r="B153" s="33">
        <v>0</v>
      </c>
      <c r="C153" s="77">
        <v>0</v>
      </c>
      <c r="D153" s="33">
        <v>0</v>
      </c>
      <c r="E153" s="77">
        <v>0</v>
      </c>
      <c r="F153" s="30">
        <v>1752291</v>
      </c>
      <c r="G153" s="77">
        <v>1865436</v>
      </c>
      <c r="H153" s="78">
        <v>1894432</v>
      </c>
      <c r="I153" s="77">
        <v>3085005</v>
      </c>
      <c r="J153" s="255">
        <v>3454730</v>
      </c>
      <c r="K153" s="314">
        <v>3564817</v>
      </c>
      <c r="L153" s="525">
        <v>3824301</v>
      </c>
      <c r="M153" s="715">
        <v>4168010</v>
      </c>
    </row>
    <row r="154" spans="1:13" ht="13">
      <c r="A154" s="65" t="s">
        <v>68</v>
      </c>
      <c r="B154" s="33">
        <f>SUM(B151:B153)</f>
        <v>5249925</v>
      </c>
      <c r="C154" s="77">
        <f t="shared" ref="C154:F154" si="104">SUM(C151:C153)</f>
        <v>5190086</v>
      </c>
      <c r="D154" s="33">
        <f t="shared" si="104"/>
        <v>6461215</v>
      </c>
      <c r="E154" s="77">
        <f t="shared" si="104"/>
        <v>6869064</v>
      </c>
      <c r="F154" s="33">
        <f t="shared" si="104"/>
        <v>6516803</v>
      </c>
      <c r="G154" s="77">
        <f t="shared" ref="G154:K154" si="105">SUM(G151:G153)</f>
        <v>7030271</v>
      </c>
      <c r="H154" s="79">
        <f t="shared" si="105"/>
        <v>8132471</v>
      </c>
      <c r="I154" s="80">
        <f t="shared" si="105"/>
        <v>9983591</v>
      </c>
      <c r="J154" s="256">
        <f t="shared" si="105"/>
        <v>10543576</v>
      </c>
      <c r="K154" s="314">
        <f t="shared" si="105"/>
        <v>10693260</v>
      </c>
      <c r="L154" s="523">
        <f>SUM(L150:L153)</f>
        <v>12686206</v>
      </c>
      <c r="M154" s="716">
        <f>SUM(M150:M153)</f>
        <v>12051163</v>
      </c>
    </row>
    <row r="155" spans="1:13" ht="13">
      <c r="A155" s="65" t="s">
        <v>69</v>
      </c>
      <c r="B155" s="30">
        <v>-392</v>
      </c>
      <c r="C155" s="77">
        <v>91583</v>
      </c>
      <c r="D155" s="33">
        <v>20640</v>
      </c>
      <c r="E155" s="77">
        <v>41702</v>
      </c>
      <c r="F155" s="30">
        <v>34667</v>
      </c>
      <c r="G155" s="369">
        <v>-991</v>
      </c>
      <c r="H155" s="79">
        <v>15820</v>
      </c>
      <c r="I155" s="81">
        <v>45226</v>
      </c>
      <c r="J155" s="354">
        <v>-9617</v>
      </c>
      <c r="K155" s="314">
        <v>18505</v>
      </c>
      <c r="L155" s="523">
        <v>-8361</v>
      </c>
      <c r="M155" s="716">
        <v>-372046</v>
      </c>
    </row>
    <row r="156" spans="1:13" ht="13">
      <c r="A156" s="64" t="s">
        <v>70</v>
      </c>
      <c r="B156" s="50">
        <f>SUM(B154:B155)</f>
        <v>5249533</v>
      </c>
      <c r="C156" s="82">
        <f t="shared" ref="C156:F156" si="106">SUM(C154:C155)</f>
        <v>5281669</v>
      </c>
      <c r="D156" s="34">
        <f t="shared" si="106"/>
        <v>6481855</v>
      </c>
      <c r="E156" s="82">
        <f t="shared" si="106"/>
        <v>6910766</v>
      </c>
      <c r="F156" s="34">
        <f t="shared" si="106"/>
        <v>6551470</v>
      </c>
      <c r="G156" s="82">
        <f t="shared" ref="G156:K156" si="107">SUM(G154:G155)</f>
        <v>7029280</v>
      </c>
      <c r="H156" s="83">
        <f t="shared" si="107"/>
        <v>8148291</v>
      </c>
      <c r="I156" s="84">
        <f t="shared" si="107"/>
        <v>10028817</v>
      </c>
      <c r="J156" s="257">
        <f t="shared" si="107"/>
        <v>10533959</v>
      </c>
      <c r="K156" s="315">
        <f t="shared" si="107"/>
        <v>10711765</v>
      </c>
      <c r="L156" s="526">
        <f t="shared" ref="L156:M156" si="108">SUM(L154:L155)</f>
        <v>12677845</v>
      </c>
      <c r="M156" s="717">
        <f t="shared" si="108"/>
        <v>11679117</v>
      </c>
    </row>
    <row r="157" spans="1:13" ht="10.9" customHeight="1">
      <c r="A157" s="148" t="s">
        <v>155</v>
      </c>
      <c r="B157" s="38"/>
      <c r="C157" s="38">
        <f t="shared" ref="C157:G157" si="109">(C156-B156)/B156</f>
        <v>6.1216873958121606E-3</v>
      </c>
      <c r="D157" s="38">
        <f t="shared" si="109"/>
        <v>0.22723612555046521</v>
      </c>
      <c r="E157" s="38">
        <f t="shared" si="109"/>
        <v>6.6171026658263729E-2</v>
      </c>
      <c r="F157" s="38">
        <f t="shared" si="109"/>
        <v>-5.1990763397284756E-2</v>
      </c>
      <c r="G157" s="38">
        <f t="shared" si="109"/>
        <v>7.2931723720020089E-2</v>
      </c>
      <c r="H157" s="759">
        <f t="shared" ref="H157:J157" si="110">(H156-G156)/G156</f>
        <v>0.15919283340541279</v>
      </c>
      <c r="I157" s="38">
        <f t="shared" si="110"/>
        <v>0.23078778114330969</v>
      </c>
      <c r="J157" s="38">
        <f t="shared" si="110"/>
        <v>5.0369051504280116E-2</v>
      </c>
      <c r="K157" s="298">
        <f>(K156-J156)/J156</f>
        <v>1.687931384581998E-2</v>
      </c>
      <c r="L157" s="508">
        <f>(L156-K156)/K156</f>
        <v>0.1835439817807803</v>
      </c>
      <c r="M157" s="298">
        <f>(M156-L156)/L156</f>
        <v>-7.877742628972037E-2</v>
      </c>
    </row>
    <row r="158" spans="1:13" ht="13">
      <c r="A158" s="92" t="s">
        <v>71</v>
      </c>
      <c r="B158" s="39"/>
      <c r="C158" s="74"/>
      <c r="D158" s="56"/>
      <c r="E158" s="74"/>
      <c r="F158" s="39"/>
      <c r="G158" s="75"/>
      <c r="H158" s="86"/>
      <c r="I158" s="75"/>
      <c r="J158" s="25"/>
      <c r="K158" s="313"/>
      <c r="L158" s="532"/>
      <c r="M158" s="704"/>
    </row>
    <row r="159" spans="1:13" ht="13">
      <c r="A159" s="65" t="s">
        <v>72</v>
      </c>
      <c r="B159" s="30">
        <v>0</v>
      </c>
      <c r="C159" s="77">
        <v>0</v>
      </c>
      <c r="D159" s="54">
        <v>0</v>
      </c>
      <c r="E159" s="77">
        <v>0</v>
      </c>
      <c r="F159" s="30">
        <v>0</v>
      </c>
      <c r="G159" s="81">
        <v>0</v>
      </c>
      <c r="H159" s="85">
        <v>0</v>
      </c>
      <c r="I159" s="81">
        <v>0</v>
      </c>
      <c r="J159" s="42">
        <v>0</v>
      </c>
      <c r="K159" s="316">
        <v>0</v>
      </c>
      <c r="L159" s="521">
        <v>0</v>
      </c>
      <c r="M159" s="705">
        <v>0</v>
      </c>
    </row>
    <row r="160" spans="1:13" ht="13">
      <c r="A160" s="65" t="s">
        <v>73</v>
      </c>
      <c r="B160" s="30">
        <v>0</v>
      </c>
      <c r="C160" s="77">
        <v>0</v>
      </c>
      <c r="D160" s="54">
        <v>0</v>
      </c>
      <c r="E160" s="77">
        <v>0</v>
      </c>
      <c r="F160" s="30">
        <v>0</v>
      </c>
      <c r="G160" s="81">
        <v>0</v>
      </c>
      <c r="H160" s="85">
        <v>0</v>
      </c>
      <c r="I160" s="77">
        <v>0</v>
      </c>
      <c r="J160" s="42">
        <v>0</v>
      </c>
      <c r="K160" s="316">
        <v>0</v>
      </c>
      <c r="L160" s="521">
        <v>0</v>
      </c>
      <c r="M160" s="705">
        <v>0</v>
      </c>
    </row>
    <row r="161" spans="1:13" ht="13">
      <c r="A161" s="65" t="s">
        <v>74</v>
      </c>
      <c r="B161" s="30">
        <v>0</v>
      </c>
      <c r="C161" s="77">
        <v>0</v>
      </c>
      <c r="D161" s="54">
        <v>0</v>
      </c>
      <c r="E161" s="77">
        <v>0</v>
      </c>
      <c r="F161" s="30">
        <v>0</v>
      </c>
      <c r="G161" s="81">
        <v>0</v>
      </c>
      <c r="H161" s="85">
        <v>0</v>
      </c>
      <c r="I161" s="77">
        <v>0</v>
      </c>
      <c r="J161" s="42">
        <v>0</v>
      </c>
      <c r="K161" s="316">
        <v>0</v>
      </c>
      <c r="L161" s="521">
        <v>0</v>
      </c>
      <c r="M161" s="705">
        <v>0</v>
      </c>
    </row>
    <row r="162" spans="1:13" ht="13">
      <c r="A162" s="65" t="s">
        <v>75</v>
      </c>
      <c r="B162" s="30">
        <v>0</v>
      </c>
      <c r="C162" s="77">
        <v>0</v>
      </c>
      <c r="D162" s="54">
        <v>0</v>
      </c>
      <c r="E162" s="77">
        <v>0</v>
      </c>
      <c r="F162" s="30">
        <v>0</v>
      </c>
      <c r="G162" s="81">
        <v>0</v>
      </c>
      <c r="H162" s="85">
        <v>0</v>
      </c>
      <c r="I162" s="77">
        <v>0</v>
      </c>
      <c r="J162" s="42">
        <v>0</v>
      </c>
      <c r="K162" s="316">
        <v>0</v>
      </c>
      <c r="L162" s="521">
        <v>0</v>
      </c>
      <c r="M162" s="705">
        <v>0</v>
      </c>
    </row>
    <row r="163" spans="1:13" ht="13">
      <c r="A163" s="65" t="s">
        <v>76</v>
      </c>
      <c r="B163" s="30">
        <v>0</v>
      </c>
      <c r="C163" s="77">
        <v>0</v>
      </c>
      <c r="D163" s="54">
        <v>0</v>
      </c>
      <c r="E163" s="77">
        <v>0</v>
      </c>
      <c r="F163" s="30">
        <v>0</v>
      </c>
      <c r="G163" s="81">
        <v>0</v>
      </c>
      <c r="H163" s="85">
        <v>0</v>
      </c>
      <c r="I163" s="77">
        <v>0</v>
      </c>
      <c r="J163" s="42">
        <v>0</v>
      </c>
      <c r="K163" s="316">
        <v>0</v>
      </c>
      <c r="L163" s="521">
        <v>0</v>
      </c>
      <c r="M163" s="705">
        <v>0</v>
      </c>
    </row>
    <row r="164" spans="1:13" ht="13">
      <c r="A164" s="65" t="s">
        <v>77</v>
      </c>
      <c r="B164" s="30">
        <v>0</v>
      </c>
      <c r="C164" s="77">
        <v>0</v>
      </c>
      <c r="D164" s="54">
        <v>0</v>
      </c>
      <c r="E164" s="77">
        <v>0</v>
      </c>
      <c r="F164" s="30">
        <v>0</v>
      </c>
      <c r="G164" s="81">
        <v>0</v>
      </c>
      <c r="H164" s="85">
        <v>0</v>
      </c>
      <c r="I164" s="77">
        <v>0</v>
      </c>
      <c r="J164" s="42">
        <v>0</v>
      </c>
      <c r="K164" s="316">
        <v>0</v>
      </c>
      <c r="L164" s="521">
        <v>0</v>
      </c>
      <c r="M164" s="705">
        <v>0</v>
      </c>
    </row>
    <row r="165" spans="1:13" ht="13">
      <c r="A165" s="67" t="s">
        <v>78</v>
      </c>
      <c r="B165" s="50">
        <f>SUM(B159:B164)</f>
        <v>0</v>
      </c>
      <c r="C165" s="82">
        <f t="shared" ref="C165:F165" si="111">SUM(C159:C164)</f>
        <v>0</v>
      </c>
      <c r="D165" s="34">
        <f t="shared" si="111"/>
        <v>0</v>
      </c>
      <c r="E165" s="82">
        <f t="shared" si="111"/>
        <v>0</v>
      </c>
      <c r="F165" s="34">
        <f t="shared" si="111"/>
        <v>0</v>
      </c>
      <c r="G165" s="82">
        <f t="shared" ref="G165:I165" si="112">SUM(G159:G164)</f>
        <v>0</v>
      </c>
      <c r="H165" s="83">
        <f t="shared" si="112"/>
        <v>0</v>
      </c>
      <c r="I165" s="84">
        <f t="shared" si="112"/>
        <v>0</v>
      </c>
      <c r="J165" s="57">
        <v>0</v>
      </c>
      <c r="K165" s="316">
        <v>0</v>
      </c>
      <c r="L165" s="521">
        <v>0</v>
      </c>
      <c r="M165" s="705">
        <v>0</v>
      </c>
    </row>
    <row r="166" spans="1:13" ht="10.9" customHeight="1">
      <c r="A166" s="148" t="s">
        <v>155</v>
      </c>
      <c r="B166" s="38">
        <v>0</v>
      </c>
      <c r="C166" s="38">
        <v>0</v>
      </c>
      <c r="D166" s="38">
        <v>0</v>
      </c>
      <c r="E166" s="38">
        <v>0</v>
      </c>
      <c r="F166" s="38">
        <v>0</v>
      </c>
      <c r="G166" s="38">
        <v>0</v>
      </c>
      <c r="H166" s="759">
        <v>0</v>
      </c>
      <c r="I166" s="38">
        <v>0</v>
      </c>
      <c r="J166" s="38">
        <v>0</v>
      </c>
      <c r="K166" s="298">
        <v>0</v>
      </c>
      <c r="L166" s="508">
        <v>0</v>
      </c>
      <c r="M166" s="298">
        <v>0</v>
      </c>
    </row>
    <row r="167" spans="1:13" ht="13">
      <c r="A167" s="65" t="s">
        <v>79</v>
      </c>
      <c r="B167" s="30">
        <v>3725</v>
      </c>
      <c r="C167" s="77">
        <v>9215</v>
      </c>
      <c r="D167" s="33">
        <v>0</v>
      </c>
      <c r="E167" s="77">
        <v>4529</v>
      </c>
      <c r="F167" s="30">
        <v>4252</v>
      </c>
      <c r="G167" s="77">
        <v>1106</v>
      </c>
      <c r="H167" s="85">
        <v>0</v>
      </c>
      <c r="I167" s="77">
        <v>6759</v>
      </c>
      <c r="J167" s="255">
        <v>39188</v>
      </c>
      <c r="K167" s="314">
        <v>6657</v>
      </c>
      <c r="L167" s="523">
        <f>49597+15444</f>
        <v>65041</v>
      </c>
      <c r="M167" s="706">
        <v>48731</v>
      </c>
    </row>
    <row r="168" spans="1:13" ht="13">
      <c r="A168" s="64" t="s">
        <v>80</v>
      </c>
      <c r="B168" s="50">
        <f>SUM(B165+B167)</f>
        <v>3725</v>
      </c>
      <c r="C168" s="82">
        <f t="shared" ref="C168:F168" si="113">SUM(C165+C167)</f>
        <v>9215</v>
      </c>
      <c r="D168" s="50">
        <f t="shared" si="113"/>
        <v>0</v>
      </c>
      <c r="E168" s="82">
        <f t="shared" si="113"/>
        <v>4529</v>
      </c>
      <c r="F168" s="34">
        <f t="shared" si="113"/>
        <v>4252</v>
      </c>
      <c r="G168" s="82">
        <f t="shared" ref="G168:K168" si="114">SUM(G165+G167)</f>
        <v>1106</v>
      </c>
      <c r="H168" s="83">
        <f t="shared" si="114"/>
        <v>0</v>
      </c>
      <c r="I168" s="84">
        <f t="shared" si="114"/>
        <v>6759</v>
      </c>
      <c r="J168" s="257">
        <f t="shared" si="114"/>
        <v>39188</v>
      </c>
      <c r="K168" s="315">
        <f t="shared" si="114"/>
        <v>6657</v>
      </c>
      <c r="L168" s="526">
        <f t="shared" ref="L168:M168" si="115">SUM(L165+L167)</f>
        <v>65041</v>
      </c>
      <c r="M168" s="707">
        <f t="shared" si="115"/>
        <v>48731</v>
      </c>
    </row>
    <row r="169" spans="1:13" ht="10.9" customHeight="1">
      <c r="A169" s="148" t="s">
        <v>155</v>
      </c>
      <c r="B169" s="38"/>
      <c r="C169" s="38">
        <f t="shared" ref="C169:G169" si="116">(C168-B168)/B168</f>
        <v>1.4738255033557046</v>
      </c>
      <c r="D169" s="38">
        <f t="shared" si="116"/>
        <v>-1</v>
      </c>
      <c r="E169" s="38">
        <f>(E168-D168)/1</f>
        <v>4529</v>
      </c>
      <c r="F169" s="38">
        <f t="shared" si="116"/>
        <v>-6.116140428350629E-2</v>
      </c>
      <c r="G169" s="38">
        <f t="shared" si="116"/>
        <v>-0.73988711194731893</v>
      </c>
      <c r="H169" s="759">
        <f t="shared" ref="H169:J169" si="117">(H168-G168)/G168</f>
        <v>-1</v>
      </c>
      <c r="I169" s="38">
        <f>(I168-H168)/1</f>
        <v>6759</v>
      </c>
      <c r="J169" s="38">
        <f t="shared" si="117"/>
        <v>4.7978990974996298</v>
      </c>
      <c r="K169" s="298">
        <f>(K168-J168)/J168</f>
        <v>-0.83012656935796669</v>
      </c>
      <c r="L169" s="508">
        <f>(L168-K168)/K168</f>
        <v>8.7703169595914083</v>
      </c>
      <c r="M169" s="298">
        <f>(M168-L168)/L168</f>
        <v>-0.25076490213865099</v>
      </c>
    </row>
    <row r="170" spans="1:13" ht="13">
      <c r="A170" s="65" t="s">
        <v>58</v>
      </c>
      <c r="B170" s="30">
        <v>-34522</v>
      </c>
      <c r="C170" s="77">
        <v>-14000</v>
      </c>
      <c r="D170" s="30">
        <v>38856</v>
      </c>
      <c r="E170" s="77">
        <v>4008</v>
      </c>
      <c r="F170" s="30">
        <v>66146</v>
      </c>
      <c r="G170" s="77">
        <v>7223</v>
      </c>
      <c r="H170" s="368">
        <v>-354</v>
      </c>
      <c r="I170" s="77">
        <v>13369</v>
      </c>
      <c r="J170" s="255">
        <v>13301</v>
      </c>
      <c r="K170" s="317">
        <v>-21059</v>
      </c>
      <c r="L170" s="533">
        <v>-16419</v>
      </c>
      <c r="M170" s="708">
        <v>-15845</v>
      </c>
    </row>
    <row r="171" spans="1:13" ht="13">
      <c r="A171" s="92" t="s">
        <v>81</v>
      </c>
      <c r="B171" s="39"/>
      <c r="C171" s="74"/>
      <c r="D171" s="25"/>
      <c r="E171" s="74"/>
      <c r="F171" s="39"/>
      <c r="G171" s="74"/>
      <c r="H171" s="86"/>
      <c r="I171" s="74"/>
      <c r="J171" s="25"/>
      <c r="K171" s="318"/>
      <c r="L171" s="503"/>
      <c r="M171" s="709"/>
    </row>
    <row r="172" spans="1:13" ht="13">
      <c r="A172" s="65" t="s">
        <v>93</v>
      </c>
      <c r="B172" s="30">
        <v>0</v>
      </c>
      <c r="C172" s="77">
        <v>0</v>
      </c>
      <c r="D172" s="30">
        <v>0</v>
      </c>
      <c r="E172" s="77">
        <v>0</v>
      </c>
      <c r="F172" s="30">
        <v>0</v>
      </c>
      <c r="G172" s="77">
        <v>0</v>
      </c>
      <c r="H172" s="85">
        <v>0</v>
      </c>
      <c r="I172" s="77">
        <v>0</v>
      </c>
      <c r="J172" s="42">
        <v>0</v>
      </c>
      <c r="K172" s="316">
        <v>0</v>
      </c>
      <c r="L172" s="521">
        <v>0</v>
      </c>
      <c r="M172" s="705">
        <v>0</v>
      </c>
    </row>
    <row r="173" spans="1:13" ht="13">
      <c r="A173" s="65" t="s">
        <v>178</v>
      </c>
      <c r="B173" s="30">
        <v>1036193</v>
      </c>
      <c r="C173" s="77">
        <v>1216113</v>
      </c>
      <c r="D173" s="30">
        <v>1036975</v>
      </c>
      <c r="E173" s="77">
        <v>1070992</v>
      </c>
      <c r="F173" s="30">
        <v>1001872</v>
      </c>
      <c r="G173" s="77">
        <v>1018175</v>
      </c>
      <c r="H173" s="79">
        <v>622624</v>
      </c>
      <c r="I173" s="77">
        <v>743856</v>
      </c>
      <c r="J173" s="30">
        <v>734171</v>
      </c>
      <c r="K173" s="314">
        <v>788062</v>
      </c>
      <c r="L173" s="523">
        <v>814562</v>
      </c>
      <c r="M173" s="706">
        <v>1335355</v>
      </c>
    </row>
    <row r="174" spans="1:13" ht="13">
      <c r="A174" s="65" t="s">
        <v>82</v>
      </c>
      <c r="B174" s="30">
        <v>136848</v>
      </c>
      <c r="C174" s="77">
        <v>93482</v>
      </c>
      <c r="D174" s="30">
        <v>98102</v>
      </c>
      <c r="E174" s="77">
        <v>147842</v>
      </c>
      <c r="F174" s="30">
        <v>238246</v>
      </c>
      <c r="G174" s="77">
        <v>137177</v>
      </c>
      <c r="H174" s="79">
        <v>90365</v>
      </c>
      <c r="I174" s="77">
        <v>84973</v>
      </c>
      <c r="J174" s="255">
        <f>20839+81625</f>
        <v>102464</v>
      </c>
      <c r="K174" s="314">
        <v>124747</v>
      </c>
      <c r="L174" s="523">
        <f>39139+167725</f>
        <v>206864</v>
      </c>
      <c r="M174" s="706">
        <v>353952</v>
      </c>
    </row>
    <row r="175" spans="1:13" ht="13">
      <c r="A175" s="65" t="s">
        <v>83</v>
      </c>
      <c r="B175" s="30">
        <v>10991</v>
      </c>
      <c r="C175" s="77">
        <v>9608</v>
      </c>
      <c r="D175" s="30">
        <v>9531</v>
      </c>
      <c r="E175" s="77">
        <v>8672</v>
      </c>
      <c r="F175" s="30">
        <v>9804</v>
      </c>
      <c r="G175" s="77">
        <v>9227</v>
      </c>
      <c r="H175" s="79">
        <v>7835</v>
      </c>
      <c r="I175" s="77">
        <v>85857</v>
      </c>
      <c r="J175" s="30">
        <v>93834</v>
      </c>
      <c r="K175" s="314">
        <v>5500</v>
      </c>
      <c r="L175" s="523">
        <v>38256</v>
      </c>
      <c r="M175" s="706">
        <v>4982</v>
      </c>
    </row>
    <row r="176" spans="1:13" ht="13">
      <c r="A176" s="64" t="s">
        <v>84</v>
      </c>
      <c r="B176" s="50">
        <f>SUM(B172:B175)</f>
        <v>1184032</v>
      </c>
      <c r="C176" s="82">
        <f t="shared" ref="C176:F176" si="118">SUM(C172:C175)</f>
        <v>1319203</v>
      </c>
      <c r="D176" s="50">
        <f t="shared" si="118"/>
        <v>1144608</v>
      </c>
      <c r="E176" s="82">
        <f t="shared" si="118"/>
        <v>1227506</v>
      </c>
      <c r="F176" s="34">
        <f t="shared" si="118"/>
        <v>1249922</v>
      </c>
      <c r="G176" s="82">
        <f t="shared" ref="G176:K176" si="119">SUM(G172:G175)</f>
        <v>1164579</v>
      </c>
      <c r="H176" s="83">
        <f t="shared" si="119"/>
        <v>720824</v>
      </c>
      <c r="I176" s="84">
        <f t="shared" si="119"/>
        <v>914686</v>
      </c>
      <c r="J176" s="258">
        <f t="shared" si="119"/>
        <v>930469</v>
      </c>
      <c r="K176" s="315">
        <f t="shared" si="119"/>
        <v>918309</v>
      </c>
      <c r="L176" s="526">
        <f t="shared" ref="L176:M176" si="120">SUM(L172:L175)</f>
        <v>1059682</v>
      </c>
      <c r="M176" s="707">
        <f t="shared" si="120"/>
        <v>1694289</v>
      </c>
    </row>
    <row r="177" spans="1:13" ht="10.9" customHeight="1">
      <c r="A177" s="148" t="s">
        <v>155</v>
      </c>
      <c r="B177" s="38"/>
      <c r="C177" s="38">
        <f t="shared" ref="C177:G177" si="121">(C176-B176)/B176</f>
        <v>0.11416161049701359</v>
      </c>
      <c r="D177" s="38">
        <f t="shared" si="121"/>
        <v>-0.13234885002535621</v>
      </c>
      <c r="E177" s="38">
        <f t="shared" si="121"/>
        <v>7.242479521373256E-2</v>
      </c>
      <c r="F177" s="38">
        <f t="shared" si="121"/>
        <v>1.8261417866796577E-2</v>
      </c>
      <c r="G177" s="38">
        <f t="shared" si="121"/>
        <v>-6.827866058842072E-2</v>
      </c>
      <c r="H177" s="759">
        <f t="shared" ref="H177:M177" si="122">(H176-G176)/G176</f>
        <v>-0.38104327830057044</v>
      </c>
      <c r="I177" s="38">
        <f t="shared" si="122"/>
        <v>0.2689449851836232</v>
      </c>
      <c r="J177" s="38">
        <f t="shared" si="122"/>
        <v>1.7255101750764744E-2</v>
      </c>
      <c r="K177" s="298">
        <f t="shared" si="122"/>
        <v>-1.3068678268701053E-2</v>
      </c>
      <c r="L177" s="508">
        <f t="shared" si="122"/>
        <v>0.15394926979916346</v>
      </c>
      <c r="M177" s="298">
        <f t="shared" si="122"/>
        <v>0.59886550870921651</v>
      </c>
    </row>
    <row r="178" spans="1:13" ht="13">
      <c r="A178" s="65" t="s">
        <v>85</v>
      </c>
      <c r="B178" s="30">
        <v>0</v>
      </c>
      <c r="C178" s="77">
        <v>0</v>
      </c>
      <c r="D178" s="30">
        <v>0</v>
      </c>
      <c r="E178" s="77">
        <v>0</v>
      </c>
      <c r="F178" s="30">
        <v>0</v>
      </c>
      <c r="G178" s="77">
        <v>0</v>
      </c>
      <c r="H178" s="79">
        <v>0</v>
      </c>
      <c r="I178" s="77">
        <v>0</v>
      </c>
      <c r="J178" s="42">
        <v>0</v>
      </c>
      <c r="K178" s="313">
        <v>0</v>
      </c>
      <c r="L178" s="521">
        <v>0</v>
      </c>
      <c r="M178" s="705">
        <v>0</v>
      </c>
    </row>
    <row r="179" spans="1:13" ht="13">
      <c r="A179" s="65" t="s">
        <v>86</v>
      </c>
      <c r="B179" s="30">
        <v>318075</v>
      </c>
      <c r="C179" s="77">
        <v>402750</v>
      </c>
      <c r="D179" s="30">
        <v>453995</v>
      </c>
      <c r="E179" s="77">
        <v>491290</v>
      </c>
      <c r="F179" s="30">
        <v>533295</v>
      </c>
      <c r="G179" s="77">
        <v>539983</v>
      </c>
      <c r="H179" s="79">
        <v>374209</v>
      </c>
      <c r="I179" s="77">
        <v>451257</v>
      </c>
      <c r="J179" s="255">
        <f>351884+115185</f>
        <v>467069</v>
      </c>
      <c r="K179" s="314">
        <v>537524</v>
      </c>
      <c r="L179" s="523">
        <f>382684+180872</f>
        <v>563556</v>
      </c>
      <c r="M179" s="706">
        <v>799323</v>
      </c>
    </row>
    <row r="180" spans="1:13" ht="13">
      <c r="A180" s="64" t="s">
        <v>87</v>
      </c>
      <c r="B180" s="50">
        <f t="shared" ref="B180:F180" si="123">SUM(B178:B179)</f>
        <v>318075</v>
      </c>
      <c r="C180" s="82">
        <f t="shared" si="123"/>
        <v>402750</v>
      </c>
      <c r="D180" s="50">
        <f t="shared" si="123"/>
        <v>453995</v>
      </c>
      <c r="E180" s="82">
        <f t="shared" si="123"/>
        <v>491290</v>
      </c>
      <c r="F180" s="34">
        <f t="shared" si="123"/>
        <v>533295</v>
      </c>
      <c r="G180" s="82">
        <v>539983</v>
      </c>
      <c r="H180" s="83">
        <f t="shared" ref="H180:M180" si="124">SUM(H178:H179)</f>
        <v>374209</v>
      </c>
      <c r="I180" s="84">
        <f t="shared" si="124"/>
        <v>451257</v>
      </c>
      <c r="J180" s="258">
        <f t="shared" si="124"/>
        <v>467069</v>
      </c>
      <c r="K180" s="315">
        <f t="shared" si="124"/>
        <v>537524</v>
      </c>
      <c r="L180" s="526">
        <f t="shared" si="124"/>
        <v>563556</v>
      </c>
      <c r="M180" s="707">
        <f t="shared" si="124"/>
        <v>799323</v>
      </c>
    </row>
    <row r="181" spans="1:13" ht="10.9" customHeight="1">
      <c r="A181" s="148" t="s">
        <v>155</v>
      </c>
      <c r="B181" s="38"/>
      <c r="C181" s="38">
        <f t="shared" ref="C181:G181" si="125">(C180-B180)/B180</f>
        <v>0.26621079933977837</v>
      </c>
      <c r="D181" s="38">
        <f t="shared" si="125"/>
        <v>0.12723774053382991</v>
      </c>
      <c r="E181" s="38">
        <f t="shared" si="125"/>
        <v>8.2148481811473689E-2</v>
      </c>
      <c r="F181" s="38">
        <f t="shared" si="125"/>
        <v>8.5499399539986559E-2</v>
      </c>
      <c r="G181" s="38">
        <f t="shared" si="125"/>
        <v>1.2540901377286492E-2</v>
      </c>
      <c r="H181" s="759">
        <f t="shared" ref="H181:M181" si="126">(H180-G180)/G180</f>
        <v>-0.30699855365817075</v>
      </c>
      <c r="I181" s="38">
        <f t="shared" si="126"/>
        <v>0.20589563586124332</v>
      </c>
      <c r="J181" s="38">
        <f t="shared" si="126"/>
        <v>3.5039899658066247E-2</v>
      </c>
      <c r="K181" s="298">
        <f t="shared" si="126"/>
        <v>0.150844950103732</v>
      </c>
      <c r="L181" s="508">
        <f t="shared" si="126"/>
        <v>4.8429465475029951E-2</v>
      </c>
      <c r="M181" s="298">
        <f t="shared" si="126"/>
        <v>0.41835593978238189</v>
      </c>
    </row>
    <row r="182" spans="1:13" ht="13">
      <c r="A182" s="64" t="s">
        <v>26</v>
      </c>
      <c r="B182" s="50">
        <f>SUM(B180,B176)</f>
        <v>1502107</v>
      </c>
      <c r="C182" s="82">
        <f t="shared" ref="C182:F182" si="127">SUM(C180,C176)</f>
        <v>1721953</v>
      </c>
      <c r="D182" s="50">
        <f t="shared" si="127"/>
        <v>1598603</v>
      </c>
      <c r="E182" s="82">
        <f t="shared" si="127"/>
        <v>1718796</v>
      </c>
      <c r="F182" s="34">
        <f t="shared" si="127"/>
        <v>1783217</v>
      </c>
      <c r="G182" s="82">
        <f t="shared" ref="G182:I182" si="128">SUM(G180,G176)</f>
        <v>1704562</v>
      </c>
      <c r="H182" s="83">
        <f t="shared" si="128"/>
        <v>1095033</v>
      </c>
      <c r="I182" s="84">
        <f t="shared" si="128"/>
        <v>1365943</v>
      </c>
      <c r="J182" s="355">
        <v>1397538</v>
      </c>
      <c r="K182" s="315">
        <f t="shared" ref="K182:L182" si="129">SUM(K180,K176)</f>
        <v>1455833</v>
      </c>
      <c r="L182" s="526">
        <f t="shared" si="129"/>
        <v>1623238</v>
      </c>
      <c r="M182" s="707">
        <f t="shared" ref="M182" si="130">SUM(M180,M176)</f>
        <v>2493612</v>
      </c>
    </row>
    <row r="183" spans="1:13" ht="13">
      <c r="A183" s="65" t="s">
        <v>60</v>
      </c>
      <c r="B183" s="30">
        <v>22290</v>
      </c>
      <c r="C183" s="77">
        <v>-52317</v>
      </c>
      <c r="D183" s="30">
        <v>26210</v>
      </c>
      <c r="E183" s="77">
        <v>10115</v>
      </c>
      <c r="F183" s="33">
        <v>82888</v>
      </c>
      <c r="G183" s="77">
        <v>115614</v>
      </c>
      <c r="H183" s="79">
        <v>52821</v>
      </c>
      <c r="I183" s="369">
        <v>-135713</v>
      </c>
      <c r="J183" s="356">
        <v>67702</v>
      </c>
      <c r="K183" s="314">
        <f>-59041</f>
        <v>-59041</v>
      </c>
      <c r="L183" s="523">
        <v>73426</v>
      </c>
      <c r="M183" s="706">
        <v>541310</v>
      </c>
    </row>
    <row r="184" spans="1:13" ht="13">
      <c r="A184" s="64" t="s">
        <v>88</v>
      </c>
      <c r="B184" s="50">
        <f>SUM(B182:B183)</f>
        <v>1524397</v>
      </c>
      <c r="C184" s="82">
        <f t="shared" ref="C184:F184" si="131">SUM(C182:C183)</f>
        <v>1669636</v>
      </c>
      <c r="D184" s="34">
        <f t="shared" si="131"/>
        <v>1624813</v>
      </c>
      <c r="E184" s="82">
        <f t="shared" si="131"/>
        <v>1728911</v>
      </c>
      <c r="F184" s="34">
        <f t="shared" si="131"/>
        <v>1866105</v>
      </c>
      <c r="G184" s="82">
        <f t="shared" ref="G184:J184" si="132">SUM(G182:G183)</f>
        <v>1820176</v>
      </c>
      <c r="H184" s="83">
        <f t="shared" si="132"/>
        <v>1147854</v>
      </c>
      <c r="I184" s="84">
        <f t="shared" si="132"/>
        <v>1230230</v>
      </c>
      <c r="J184" s="258">
        <f t="shared" si="132"/>
        <v>1465240</v>
      </c>
      <c r="K184" s="315">
        <f>SUM(K182:K183)</f>
        <v>1396792</v>
      </c>
      <c r="L184" s="526">
        <f>SUM(L182:L183)</f>
        <v>1696664</v>
      </c>
      <c r="M184" s="707">
        <f>SUM(M182:M183)</f>
        <v>3034922</v>
      </c>
    </row>
    <row r="185" spans="1:13" ht="10.9" customHeight="1">
      <c r="A185" s="148" t="s">
        <v>155</v>
      </c>
      <c r="B185" s="38"/>
      <c r="C185" s="38">
        <f t="shared" ref="C185:G185" si="133">(C184-B184)/B184</f>
        <v>9.5276361735164794E-2</v>
      </c>
      <c r="D185" s="38">
        <f t="shared" si="133"/>
        <v>-2.6845971217678583E-2</v>
      </c>
      <c r="E185" s="38">
        <f t="shared" si="133"/>
        <v>6.4067680403837243E-2</v>
      </c>
      <c r="F185" s="38">
        <f t="shared" si="133"/>
        <v>7.9352841181529882E-2</v>
      </c>
      <c r="G185" s="38">
        <f t="shared" si="133"/>
        <v>-2.461222707189574E-2</v>
      </c>
      <c r="H185" s="759">
        <f t="shared" ref="H185:M185" si="134">(H184-G184)/G184</f>
        <v>-0.36937197282021078</v>
      </c>
      <c r="I185" s="38">
        <f t="shared" si="134"/>
        <v>7.1765224497192151E-2</v>
      </c>
      <c r="J185" s="38">
        <f t="shared" si="134"/>
        <v>0.19102931972070264</v>
      </c>
      <c r="K185" s="298">
        <f t="shared" si="134"/>
        <v>-4.6714531407823973E-2</v>
      </c>
      <c r="L185" s="508">
        <f t="shared" si="134"/>
        <v>0.21468622386153413</v>
      </c>
      <c r="M185" s="298">
        <f t="shared" si="134"/>
        <v>0.78875841062225638</v>
      </c>
    </row>
    <row r="186" spans="1:13" ht="13">
      <c r="A186" s="92" t="s">
        <v>89</v>
      </c>
      <c r="B186" s="39"/>
      <c r="C186" s="74"/>
      <c r="D186" s="39"/>
      <c r="E186" s="74"/>
      <c r="F186" s="39"/>
      <c r="G186" s="74"/>
      <c r="H186" s="87"/>
      <c r="I186" s="74"/>
      <c r="J186" s="25"/>
      <c r="K186" s="318"/>
      <c r="L186" s="503"/>
      <c r="M186" s="709"/>
    </row>
    <row r="187" spans="1:13" ht="13">
      <c r="A187" s="65" t="s">
        <v>228</v>
      </c>
      <c r="B187" s="39"/>
      <c r="C187" s="74"/>
      <c r="D187" s="39"/>
      <c r="E187" s="74"/>
      <c r="F187" s="39"/>
      <c r="G187" s="74"/>
      <c r="H187" s="87"/>
      <c r="I187" s="74"/>
      <c r="J187" s="25"/>
      <c r="K187" s="318"/>
      <c r="L187" s="521">
        <v>0</v>
      </c>
      <c r="M187" s="705">
        <v>0</v>
      </c>
    </row>
    <row r="188" spans="1:13" ht="13">
      <c r="A188" s="65" t="s">
        <v>65</v>
      </c>
      <c r="B188" s="30">
        <v>1794310</v>
      </c>
      <c r="C188" s="77">
        <v>2024372</v>
      </c>
      <c r="D188" s="30">
        <v>2486055</v>
      </c>
      <c r="E188" s="77">
        <v>2411197</v>
      </c>
      <c r="F188" s="30">
        <v>2157207</v>
      </c>
      <c r="G188" s="77">
        <v>2270925</v>
      </c>
      <c r="H188" s="79">
        <v>3686434</v>
      </c>
      <c r="I188" s="77">
        <v>3704068</v>
      </c>
      <c r="J188" s="30">
        <v>3908536</v>
      </c>
      <c r="K188" s="314">
        <v>3892491</v>
      </c>
      <c r="L188" s="523">
        <v>5595375</v>
      </c>
      <c r="M188" s="706">
        <v>3695103</v>
      </c>
    </row>
    <row r="189" spans="1:13" ht="13">
      <c r="A189" s="65" t="s">
        <v>66</v>
      </c>
      <c r="B189" s="30">
        <v>1900029</v>
      </c>
      <c r="C189" s="77">
        <v>1582876</v>
      </c>
      <c r="D189" s="30">
        <v>2409843</v>
      </c>
      <c r="E189" s="77">
        <v>1156958</v>
      </c>
      <c r="F189" s="30">
        <v>1044446</v>
      </c>
      <c r="G189" s="77">
        <v>1213323</v>
      </c>
      <c r="H189" s="79">
        <v>1524262</v>
      </c>
      <c r="I189" s="77">
        <v>2234232</v>
      </c>
      <c r="J189" s="30">
        <v>1893371</v>
      </c>
      <c r="K189" s="314">
        <v>1693208</v>
      </c>
      <c r="L189" s="523">
        <v>1624685</v>
      </c>
      <c r="M189" s="706">
        <v>1938791</v>
      </c>
    </row>
    <row r="190" spans="1:13" ht="13">
      <c r="A190" s="65" t="s">
        <v>67</v>
      </c>
      <c r="B190" s="30">
        <v>0</v>
      </c>
      <c r="C190" s="77">
        <v>0</v>
      </c>
      <c r="D190" s="30">
        <v>0</v>
      </c>
      <c r="E190" s="77">
        <v>1622237</v>
      </c>
      <c r="F190" s="30">
        <v>1554110</v>
      </c>
      <c r="G190" s="77">
        <v>1733185</v>
      </c>
      <c r="H190" s="79">
        <v>1789387</v>
      </c>
      <c r="I190" s="77">
        <v>2880415</v>
      </c>
      <c r="J190" s="30">
        <v>3319301</v>
      </c>
      <c r="K190" s="314">
        <v>3714872</v>
      </c>
      <c r="L190" s="523">
        <v>3809743</v>
      </c>
      <c r="M190" s="706">
        <v>3043187</v>
      </c>
    </row>
    <row r="191" spans="1:13" ht="13">
      <c r="A191" s="64" t="s">
        <v>90</v>
      </c>
      <c r="B191" s="34">
        <f>SUM(B188:B190)</f>
        <v>3694339</v>
      </c>
      <c r="C191" s="82">
        <f t="shared" ref="C191:F191" si="135">SUM(C188:C190)</f>
        <v>3607248</v>
      </c>
      <c r="D191" s="34">
        <f t="shared" si="135"/>
        <v>4895898</v>
      </c>
      <c r="E191" s="82">
        <f t="shared" si="135"/>
        <v>5190392</v>
      </c>
      <c r="F191" s="34">
        <f t="shared" si="135"/>
        <v>4755763</v>
      </c>
      <c r="G191" s="82">
        <f t="shared" ref="G191:K191" si="136">SUM(G188:G190)</f>
        <v>5217433</v>
      </c>
      <c r="H191" s="83">
        <f t="shared" si="136"/>
        <v>7000083</v>
      </c>
      <c r="I191" s="84">
        <f t="shared" si="136"/>
        <v>8818715</v>
      </c>
      <c r="J191" s="258">
        <f t="shared" si="136"/>
        <v>9121208</v>
      </c>
      <c r="K191" s="315">
        <f t="shared" si="136"/>
        <v>9300571</v>
      </c>
      <c r="L191" s="526">
        <f t="shared" ref="L191:M191" si="137">SUM(L188:L190)</f>
        <v>11029803</v>
      </c>
      <c r="M191" s="707">
        <f t="shared" si="137"/>
        <v>8677081</v>
      </c>
    </row>
    <row r="192" spans="1:13" ht="10.9" customHeight="1">
      <c r="A192" s="148" t="s">
        <v>155</v>
      </c>
      <c r="B192" s="38"/>
      <c r="C192" s="38">
        <f t="shared" ref="C192:G192" si="138">(C191-B191)/B191</f>
        <v>-2.3574176598303513E-2</v>
      </c>
      <c r="D192" s="38">
        <f t="shared" si="138"/>
        <v>0.35723909196151749</v>
      </c>
      <c r="E192" s="38">
        <f t="shared" si="138"/>
        <v>6.0151171450058806E-2</v>
      </c>
      <c r="F192" s="38">
        <f t="shared" si="138"/>
        <v>-8.3737220618404162E-2</v>
      </c>
      <c r="G192" s="38">
        <f t="shared" si="138"/>
        <v>9.7075905590753783E-2</v>
      </c>
      <c r="H192" s="759">
        <f t="shared" ref="H192:M192" si="139">(H191-G191)/G191</f>
        <v>0.34167185280577633</v>
      </c>
      <c r="I192" s="38">
        <f t="shared" si="139"/>
        <v>0.25980149092517901</v>
      </c>
      <c r="J192" s="38">
        <f t="shared" si="139"/>
        <v>3.4301255908598928E-2</v>
      </c>
      <c r="K192" s="298">
        <f t="shared" si="139"/>
        <v>1.9664390944708201E-2</v>
      </c>
      <c r="L192" s="508">
        <f t="shared" si="139"/>
        <v>0.18592750918196313</v>
      </c>
      <c r="M192" s="298">
        <f t="shared" si="139"/>
        <v>-0.2133058949466278</v>
      </c>
    </row>
    <row r="193" spans="1:13" ht="13">
      <c r="A193" s="173" t="s">
        <v>91</v>
      </c>
      <c r="B193" s="166">
        <f t="shared" ref="B193:J193" si="140">SUM(B156+B168+B170-B184)</f>
        <v>3694339</v>
      </c>
      <c r="C193" s="166">
        <f t="shared" si="140"/>
        <v>3607248</v>
      </c>
      <c r="D193" s="166">
        <f t="shared" si="140"/>
        <v>4895898</v>
      </c>
      <c r="E193" s="166">
        <f t="shared" si="140"/>
        <v>5190392</v>
      </c>
      <c r="F193" s="166">
        <f t="shared" si="140"/>
        <v>4755763</v>
      </c>
      <c r="G193" s="166">
        <f t="shared" si="140"/>
        <v>5217433</v>
      </c>
      <c r="H193" s="174">
        <f t="shared" si="140"/>
        <v>7000083</v>
      </c>
      <c r="I193" s="175">
        <f t="shared" si="140"/>
        <v>8818715</v>
      </c>
      <c r="J193" s="175">
        <f t="shared" si="140"/>
        <v>9121208</v>
      </c>
      <c r="K193" s="319">
        <f t="shared" ref="K193:L193" si="141">SUM(K156+K168+K170-K184)</f>
        <v>9300571</v>
      </c>
      <c r="L193" s="534">
        <f t="shared" si="141"/>
        <v>11029803</v>
      </c>
      <c r="M193" s="319">
        <f t="shared" ref="M193" si="142">SUM(M156+M168+M170-M184)</f>
        <v>8677081</v>
      </c>
    </row>
    <row r="194" spans="1:13" s="149" customFormat="1" ht="15" customHeight="1">
      <c r="A194" s="155"/>
      <c r="B194" s="156"/>
      <c r="C194" s="156"/>
      <c r="D194" s="156"/>
      <c r="E194" s="156"/>
      <c r="F194" s="747"/>
      <c r="G194" s="155"/>
      <c r="H194" s="157"/>
      <c r="I194" s="157"/>
      <c r="J194" s="158"/>
      <c r="K194" s="320"/>
      <c r="L194" s="535"/>
      <c r="M194" s="320"/>
    </row>
    <row r="195" spans="1:13" ht="11.5" customHeight="1">
      <c r="A195" s="159" t="s">
        <v>98</v>
      </c>
      <c r="B195" s="59" t="s">
        <v>118</v>
      </c>
      <c r="C195" s="59" t="s">
        <v>307</v>
      </c>
      <c r="D195" s="88" t="s">
        <v>316</v>
      </c>
      <c r="E195" s="88" t="s">
        <v>309</v>
      </c>
      <c r="F195" s="60" t="s">
        <v>322</v>
      </c>
      <c r="G195" s="89" t="s">
        <v>123</v>
      </c>
      <c r="H195" s="119" t="s">
        <v>122</v>
      </c>
      <c r="I195" s="88" t="s">
        <v>160</v>
      </c>
      <c r="J195" s="88" t="s">
        <v>159</v>
      </c>
      <c r="K195" s="321" t="s">
        <v>213</v>
      </c>
      <c r="L195" s="536" t="str">
        <f>L2</f>
        <v>CY'2016</v>
      </c>
      <c r="M195" s="587" t="str">
        <f>M2</f>
        <v>CY'2017</v>
      </c>
    </row>
    <row r="196" spans="1:13" ht="10.15" customHeight="1">
      <c r="A196" s="126"/>
      <c r="B196" s="61" t="s">
        <v>136</v>
      </c>
      <c r="C196" s="61" t="s">
        <v>331</v>
      </c>
      <c r="D196" s="61" t="s">
        <v>332</v>
      </c>
      <c r="E196" s="61" t="s">
        <v>333</v>
      </c>
      <c r="F196" s="61" t="s">
        <v>334</v>
      </c>
      <c r="G196" s="61" t="s">
        <v>135</v>
      </c>
      <c r="H196" s="137" t="s">
        <v>134</v>
      </c>
      <c r="I196" s="61" t="s">
        <v>168</v>
      </c>
      <c r="J196" s="61" t="s">
        <v>167</v>
      </c>
      <c r="K196" s="322" t="s">
        <v>217</v>
      </c>
      <c r="L196" s="502" t="s">
        <v>225</v>
      </c>
      <c r="M196" s="322" t="s">
        <v>344</v>
      </c>
    </row>
    <row r="197" spans="1:13" ht="12" customHeight="1">
      <c r="A197" s="92" t="s">
        <v>64</v>
      </c>
      <c r="B197" s="91"/>
      <c r="C197" s="748"/>
      <c r="D197" s="748"/>
      <c r="E197" s="748"/>
      <c r="F197" s="748"/>
      <c r="G197" s="92"/>
      <c r="H197" s="76"/>
      <c r="I197" s="25"/>
      <c r="J197" s="25"/>
      <c r="K197" s="323"/>
      <c r="L197" s="537"/>
      <c r="M197" s="323"/>
    </row>
    <row r="198" spans="1:13" ht="12" customHeight="1">
      <c r="A198" s="65" t="s">
        <v>228</v>
      </c>
      <c r="B198" s="91"/>
      <c r="C198" s="748"/>
      <c r="D198" s="748"/>
      <c r="E198" s="748"/>
      <c r="F198" s="748"/>
      <c r="G198" s="92"/>
      <c r="H198" s="76"/>
      <c r="I198" s="25"/>
      <c r="J198" s="25"/>
      <c r="K198" s="323"/>
      <c r="L198" s="538">
        <v>0</v>
      </c>
      <c r="M198" s="588">
        <v>0</v>
      </c>
    </row>
    <row r="199" spans="1:13" ht="13">
      <c r="A199" s="65" t="s">
        <v>65</v>
      </c>
      <c r="B199" s="33">
        <v>1375747</v>
      </c>
      <c r="C199" s="30">
        <v>1292950</v>
      </c>
      <c r="D199" s="30">
        <v>1425766</v>
      </c>
      <c r="E199" s="30">
        <v>1897270</v>
      </c>
      <c r="F199" s="30">
        <v>1897212</v>
      </c>
      <c r="G199" s="33">
        <v>1497412</v>
      </c>
      <c r="H199" s="93">
        <v>1724262</v>
      </c>
      <c r="I199" s="30">
        <v>2365693</v>
      </c>
      <c r="J199" s="30">
        <v>2564083</v>
      </c>
      <c r="K199" s="308">
        <v>2654030</v>
      </c>
      <c r="L199" s="525">
        <v>2773027</v>
      </c>
      <c r="M199" s="308">
        <v>4175273</v>
      </c>
    </row>
    <row r="200" spans="1:13" ht="13">
      <c r="A200" s="65" t="s">
        <v>66</v>
      </c>
      <c r="B200" s="33">
        <v>1614077</v>
      </c>
      <c r="C200" s="30">
        <v>1687510</v>
      </c>
      <c r="D200" s="30">
        <v>1529801</v>
      </c>
      <c r="E200" s="30">
        <v>2447058</v>
      </c>
      <c r="F200" s="30">
        <v>1123944</v>
      </c>
      <c r="G200" s="33">
        <v>1000914</v>
      </c>
      <c r="H200" s="93">
        <v>1683773</v>
      </c>
      <c r="I200" s="30">
        <v>1632929</v>
      </c>
      <c r="J200" s="30">
        <v>1903560</v>
      </c>
      <c r="K200" s="308">
        <v>1834928</v>
      </c>
      <c r="L200" s="525">
        <v>2024414</v>
      </c>
      <c r="M200" s="308">
        <v>1842736</v>
      </c>
    </row>
    <row r="201" spans="1:13" ht="13">
      <c r="A201" s="65" t="s">
        <v>67</v>
      </c>
      <c r="B201" s="30">
        <v>0</v>
      </c>
      <c r="C201" s="30">
        <v>0</v>
      </c>
      <c r="D201" s="30">
        <v>0</v>
      </c>
      <c r="E201" s="30">
        <v>0</v>
      </c>
      <c r="F201" s="30">
        <v>1590050</v>
      </c>
      <c r="G201" s="33">
        <v>1584245</v>
      </c>
      <c r="H201" s="93">
        <v>1159770</v>
      </c>
      <c r="I201" s="30">
        <v>1795073</v>
      </c>
      <c r="J201" s="30">
        <v>3041141</v>
      </c>
      <c r="K201" s="308">
        <v>3182138</v>
      </c>
      <c r="L201" s="525">
        <v>3508002</v>
      </c>
      <c r="M201" s="308">
        <v>3727372</v>
      </c>
    </row>
    <row r="202" spans="1:13" ht="13">
      <c r="A202" s="65" t="s">
        <v>68</v>
      </c>
      <c r="B202" s="34">
        <f>SUM(B199:B201)</f>
        <v>2989824</v>
      </c>
      <c r="C202" s="34">
        <f t="shared" ref="C202:F202" si="143">SUM(C199:C201)</f>
        <v>2980460</v>
      </c>
      <c r="D202" s="34">
        <f t="shared" si="143"/>
        <v>2955567</v>
      </c>
      <c r="E202" s="34">
        <f t="shared" si="143"/>
        <v>4344328</v>
      </c>
      <c r="F202" s="34">
        <f t="shared" si="143"/>
        <v>4611206</v>
      </c>
      <c r="G202" s="33">
        <f t="shared" ref="G202:K202" si="144">SUM(G199:G201)</f>
        <v>4082571</v>
      </c>
      <c r="H202" s="352">
        <f t="shared" si="144"/>
        <v>4567805</v>
      </c>
      <c r="I202" s="33">
        <f t="shared" si="144"/>
        <v>5793695</v>
      </c>
      <c r="J202" s="34">
        <f t="shared" si="144"/>
        <v>7508784</v>
      </c>
      <c r="K202" s="309">
        <f t="shared" si="144"/>
        <v>7671096</v>
      </c>
      <c r="L202" s="526">
        <f>SUM(L198:L201)</f>
        <v>8305443</v>
      </c>
      <c r="M202" s="309">
        <f>SUM(M198:M201)</f>
        <v>9745381</v>
      </c>
    </row>
    <row r="203" spans="1:13" ht="13">
      <c r="A203" s="65" t="s">
        <v>69</v>
      </c>
      <c r="B203" s="33">
        <v>46737</v>
      </c>
      <c r="C203" s="30">
        <v>193129</v>
      </c>
      <c r="D203" s="30">
        <v>63972</v>
      </c>
      <c r="E203" s="30">
        <v>80753</v>
      </c>
      <c r="F203" s="30">
        <v>45433</v>
      </c>
      <c r="G203" s="94">
        <v>17970</v>
      </c>
      <c r="H203" s="93">
        <v>43038</v>
      </c>
      <c r="I203" s="30">
        <v>47145</v>
      </c>
      <c r="J203" s="255">
        <v>-29629</v>
      </c>
      <c r="K203" s="308">
        <v>62455</v>
      </c>
      <c r="L203" s="525">
        <v>-2664</v>
      </c>
      <c r="M203" s="308">
        <v>-118244</v>
      </c>
    </row>
    <row r="204" spans="1:13" ht="13">
      <c r="A204" s="64" t="s">
        <v>70</v>
      </c>
      <c r="B204" s="34">
        <f>SUM(B202:B203)</f>
        <v>3036561</v>
      </c>
      <c r="C204" s="34">
        <f t="shared" ref="C204:F204" si="145">SUM(C202:C203)</f>
        <v>3173589</v>
      </c>
      <c r="D204" s="34">
        <f t="shared" si="145"/>
        <v>3019539</v>
      </c>
      <c r="E204" s="34">
        <f t="shared" si="145"/>
        <v>4425081</v>
      </c>
      <c r="F204" s="34">
        <f t="shared" si="145"/>
        <v>4656639</v>
      </c>
      <c r="G204" s="34">
        <f t="shared" ref="G204:K204" si="146">SUM(G202:G203)</f>
        <v>4100541</v>
      </c>
      <c r="H204" s="95">
        <f t="shared" si="146"/>
        <v>4610843</v>
      </c>
      <c r="I204" s="34">
        <f t="shared" si="146"/>
        <v>5840840</v>
      </c>
      <c r="J204" s="34">
        <f t="shared" si="146"/>
        <v>7479155</v>
      </c>
      <c r="K204" s="309">
        <f t="shared" si="146"/>
        <v>7733551</v>
      </c>
      <c r="L204" s="526">
        <f t="shared" ref="L204:M204" si="147">SUM(L202:L203)</f>
        <v>8302779</v>
      </c>
      <c r="M204" s="309">
        <f t="shared" si="147"/>
        <v>9627137</v>
      </c>
    </row>
    <row r="205" spans="1:13" ht="10.9" customHeight="1">
      <c r="A205" s="148" t="s">
        <v>155</v>
      </c>
      <c r="B205" s="38"/>
      <c r="C205" s="38">
        <f t="shared" ref="C205:G205" si="148">(C204-B204)/B204</f>
        <v>4.5126048842753362E-2</v>
      </c>
      <c r="D205" s="38">
        <f t="shared" si="148"/>
        <v>-4.8541257232741858E-2</v>
      </c>
      <c r="E205" s="38">
        <f t="shared" si="148"/>
        <v>0.46548231369093096</v>
      </c>
      <c r="F205" s="38">
        <f t="shared" si="148"/>
        <v>5.2328533647180694E-2</v>
      </c>
      <c r="G205" s="38">
        <f t="shared" si="148"/>
        <v>-0.11942046613448025</v>
      </c>
      <c r="H205" s="38">
        <f t="shared" ref="H205:J205" si="149">(H204-G204)/G204</f>
        <v>0.12444748144208288</v>
      </c>
      <c r="I205" s="38">
        <f t="shared" si="149"/>
        <v>0.26676184810456571</v>
      </c>
      <c r="J205" s="38">
        <f t="shared" si="149"/>
        <v>0.28049304552084975</v>
      </c>
      <c r="K205" s="298">
        <f>(K204-J204)/J204</f>
        <v>3.4014002918778929E-2</v>
      </c>
      <c r="L205" s="508">
        <f>(L204-K204)/K204</f>
        <v>7.3604997238655309E-2</v>
      </c>
      <c r="M205" s="298">
        <f>(M204-L204)/L204</f>
        <v>0.15950779853347896</v>
      </c>
    </row>
    <row r="206" spans="1:13" ht="13">
      <c r="A206" s="92" t="s">
        <v>71</v>
      </c>
      <c r="B206" s="90"/>
      <c r="C206" s="749"/>
      <c r="D206" s="748"/>
      <c r="E206" s="748"/>
      <c r="F206" s="748"/>
      <c r="G206" s="92"/>
      <c r="H206" s="76"/>
      <c r="I206" s="39"/>
      <c r="J206" s="25"/>
      <c r="K206" s="323"/>
      <c r="L206" s="537"/>
      <c r="M206" s="323"/>
    </row>
    <row r="207" spans="1:13" ht="13">
      <c r="A207" s="65" t="s">
        <v>72</v>
      </c>
      <c r="B207" s="33">
        <v>1879610</v>
      </c>
      <c r="C207" s="33">
        <v>1521894</v>
      </c>
      <c r="D207" s="30">
        <v>2374353</v>
      </c>
      <c r="E207" s="30">
        <v>1817060</v>
      </c>
      <c r="F207" s="30">
        <v>1892382</v>
      </c>
      <c r="G207" s="94">
        <v>2358481</v>
      </c>
      <c r="H207" s="93">
        <v>2157436</v>
      </c>
      <c r="I207" s="30">
        <v>1866242</v>
      </c>
      <c r="J207" s="30">
        <v>1894288</v>
      </c>
      <c r="K207" s="308">
        <v>2190416</v>
      </c>
      <c r="L207" s="525">
        <v>2102566</v>
      </c>
      <c r="M207" s="308">
        <v>1758592</v>
      </c>
    </row>
    <row r="208" spans="1:13" ht="13">
      <c r="A208" s="65" t="s">
        <v>73</v>
      </c>
      <c r="B208" s="33">
        <v>465741</v>
      </c>
      <c r="C208" s="33">
        <v>521905</v>
      </c>
      <c r="D208" s="30">
        <v>508247</v>
      </c>
      <c r="E208" s="30">
        <v>544959</v>
      </c>
      <c r="F208" s="30">
        <v>548889</v>
      </c>
      <c r="G208" s="94">
        <v>494979</v>
      </c>
      <c r="H208" s="93">
        <v>536014</v>
      </c>
      <c r="I208" s="30">
        <v>508805</v>
      </c>
      <c r="J208" s="30">
        <v>570842</v>
      </c>
      <c r="K208" s="308">
        <v>438289</v>
      </c>
      <c r="L208" s="525">
        <v>575192</v>
      </c>
      <c r="M208" s="308">
        <v>422830</v>
      </c>
    </row>
    <row r="209" spans="1:13" ht="13">
      <c r="A209" s="65" t="s">
        <v>74</v>
      </c>
      <c r="B209" s="33">
        <v>465745</v>
      </c>
      <c r="C209" s="33">
        <v>491505</v>
      </c>
      <c r="D209" s="30">
        <v>399348</v>
      </c>
      <c r="E209" s="30">
        <v>429645</v>
      </c>
      <c r="F209" s="30">
        <v>286830</v>
      </c>
      <c r="G209" s="94">
        <v>360533</v>
      </c>
      <c r="H209" s="93">
        <v>403639</v>
      </c>
      <c r="I209" s="30">
        <v>425491</v>
      </c>
      <c r="J209" s="30">
        <v>491895</v>
      </c>
      <c r="K209" s="308">
        <v>546073</v>
      </c>
      <c r="L209" s="525">
        <v>379458</v>
      </c>
      <c r="M209" s="308">
        <v>474359</v>
      </c>
    </row>
    <row r="210" spans="1:13" ht="13">
      <c r="A210" s="65" t="s">
        <v>75</v>
      </c>
      <c r="B210" s="33">
        <v>121368</v>
      </c>
      <c r="C210" s="33">
        <v>188094</v>
      </c>
      <c r="D210" s="30">
        <v>108205</v>
      </c>
      <c r="E210" s="30">
        <v>180094</v>
      </c>
      <c r="F210" s="30">
        <v>118367</v>
      </c>
      <c r="G210" s="94">
        <v>123072</v>
      </c>
      <c r="H210" s="93">
        <v>136653</v>
      </c>
      <c r="I210" s="30">
        <v>147891</v>
      </c>
      <c r="J210" s="30">
        <v>149883</v>
      </c>
      <c r="K210" s="308">
        <v>196085</v>
      </c>
      <c r="L210" s="525">
        <v>159475</v>
      </c>
      <c r="M210" s="308">
        <v>130684</v>
      </c>
    </row>
    <row r="211" spans="1:13" ht="13">
      <c r="A211" s="65" t="s">
        <v>76</v>
      </c>
      <c r="B211" s="33">
        <v>3847157</v>
      </c>
      <c r="C211" s="33">
        <v>3823669</v>
      </c>
      <c r="D211" s="30">
        <v>4463818</v>
      </c>
      <c r="E211" s="30">
        <v>3955284</v>
      </c>
      <c r="F211" s="30">
        <v>3950192</v>
      </c>
      <c r="G211" s="94">
        <v>4416223</v>
      </c>
      <c r="H211" s="93">
        <v>4702938</v>
      </c>
      <c r="I211" s="30">
        <v>5861014</v>
      </c>
      <c r="J211" s="30">
        <v>4923580</v>
      </c>
      <c r="K211" s="308">
        <v>4663294</v>
      </c>
      <c r="L211" s="525">
        <v>6033837</v>
      </c>
      <c r="M211" s="308">
        <v>5335325</v>
      </c>
    </row>
    <row r="212" spans="1:13" ht="13">
      <c r="A212" s="65" t="s">
        <v>77</v>
      </c>
      <c r="B212" s="33">
        <v>652</v>
      </c>
      <c r="C212" s="33">
        <v>580</v>
      </c>
      <c r="D212" s="30">
        <v>6282</v>
      </c>
      <c r="E212" s="30">
        <v>7599</v>
      </c>
      <c r="F212" s="30">
        <v>900</v>
      </c>
      <c r="G212" s="94">
        <v>1304</v>
      </c>
      <c r="H212" s="93">
        <v>569</v>
      </c>
      <c r="I212" s="30">
        <v>9169</v>
      </c>
      <c r="J212" s="30">
        <v>27308</v>
      </c>
      <c r="K212" s="308">
        <v>131</v>
      </c>
      <c r="L212" s="525">
        <v>217</v>
      </c>
      <c r="M212" s="308">
        <v>196</v>
      </c>
    </row>
    <row r="213" spans="1:13" ht="13">
      <c r="A213" s="67" t="s">
        <v>78</v>
      </c>
      <c r="B213" s="33">
        <f>SUM(B207:B212)</f>
        <v>6780273</v>
      </c>
      <c r="C213" s="34">
        <f t="shared" ref="C213:F213" si="150">SUM(C207:C212)</f>
        <v>6547647</v>
      </c>
      <c r="D213" s="34">
        <f t="shared" si="150"/>
        <v>7860253</v>
      </c>
      <c r="E213" s="34">
        <f t="shared" si="150"/>
        <v>6934641</v>
      </c>
      <c r="F213" s="34">
        <f t="shared" si="150"/>
        <v>6797560</v>
      </c>
      <c r="G213" s="34">
        <f t="shared" ref="G213:K213" si="151">SUM(G207:G212)</f>
        <v>7754592</v>
      </c>
      <c r="H213" s="95">
        <f t="shared" si="151"/>
        <v>7937249</v>
      </c>
      <c r="I213" s="34">
        <f t="shared" si="151"/>
        <v>8818612</v>
      </c>
      <c r="J213" s="34">
        <f t="shared" si="151"/>
        <v>8057796</v>
      </c>
      <c r="K213" s="309">
        <f t="shared" si="151"/>
        <v>8034288</v>
      </c>
      <c r="L213" s="526">
        <f t="shared" ref="L213:M213" si="152">SUM(L207:L212)</f>
        <v>9250745</v>
      </c>
      <c r="M213" s="309">
        <f t="shared" si="152"/>
        <v>8121986</v>
      </c>
    </row>
    <row r="214" spans="1:13" ht="10.9" customHeight="1">
      <c r="A214" s="148" t="s">
        <v>155</v>
      </c>
      <c r="B214" s="38"/>
      <c r="C214" s="38">
        <f t="shared" ref="C214:G214" si="153">(C213-B213)/B213</f>
        <v>-3.4309237990859658E-2</v>
      </c>
      <c r="D214" s="38">
        <f t="shared" si="153"/>
        <v>0.20046987872131775</v>
      </c>
      <c r="E214" s="38">
        <f t="shared" si="153"/>
        <v>-0.11775855051993873</v>
      </c>
      <c r="F214" s="38">
        <f t="shared" si="153"/>
        <v>-1.9767569799215273E-2</v>
      </c>
      <c r="G214" s="38">
        <f t="shared" si="153"/>
        <v>0.14079051895091768</v>
      </c>
      <c r="H214" s="38">
        <f t="shared" ref="H214:J214" si="154">(H213-G213)/G213</f>
        <v>2.3554688628363685E-2</v>
      </c>
      <c r="I214" s="38">
        <f t="shared" si="154"/>
        <v>0.11104136962315281</v>
      </c>
      <c r="J214" s="38">
        <f t="shared" si="154"/>
        <v>-8.6273894349813779E-2</v>
      </c>
      <c r="K214" s="298">
        <f>(K213-J213)/J213</f>
        <v>-2.9174230769803554E-3</v>
      </c>
      <c r="L214" s="508">
        <f>(L213-K213)/K213</f>
        <v>0.15140818949980384</v>
      </c>
      <c r="M214" s="298">
        <f>(M213-L213)/L213</f>
        <v>-0.1220181725904238</v>
      </c>
    </row>
    <row r="215" spans="1:13" ht="13">
      <c r="A215" s="65" t="s">
        <v>79</v>
      </c>
      <c r="B215" s="33">
        <v>1108730</v>
      </c>
      <c r="C215" s="30">
        <v>1000787</v>
      </c>
      <c r="D215" s="30">
        <v>936594</v>
      </c>
      <c r="E215" s="30">
        <v>1117555</v>
      </c>
      <c r="F215" s="42">
        <v>897593</v>
      </c>
      <c r="G215" s="94">
        <v>1030634</v>
      </c>
      <c r="H215" s="93">
        <v>1494953</v>
      </c>
      <c r="I215" s="30">
        <v>1547487</v>
      </c>
      <c r="J215" s="30">
        <v>1776227</v>
      </c>
      <c r="K215" s="308">
        <v>1794025</v>
      </c>
      <c r="L215" s="525">
        <f>86119+1971681+42496</f>
        <v>2100296</v>
      </c>
      <c r="M215" s="308">
        <v>1393589</v>
      </c>
    </row>
    <row r="216" spans="1:13" ht="13">
      <c r="A216" s="64" t="s">
        <v>80</v>
      </c>
      <c r="B216" s="34">
        <f>SUM(B215,B213)</f>
        <v>7889003</v>
      </c>
      <c r="C216" s="34">
        <f t="shared" ref="C216:F216" si="155">SUM(C215,C213)</f>
        <v>7548434</v>
      </c>
      <c r="D216" s="34">
        <f t="shared" si="155"/>
        <v>8796847</v>
      </c>
      <c r="E216" s="34">
        <f t="shared" si="155"/>
        <v>8052196</v>
      </c>
      <c r="F216" s="34">
        <f t="shared" si="155"/>
        <v>7695153</v>
      </c>
      <c r="G216" s="34">
        <f t="shared" ref="G216:I216" si="156">SUM(G215,G213)</f>
        <v>8785226</v>
      </c>
      <c r="H216" s="95">
        <f t="shared" si="156"/>
        <v>9432202</v>
      </c>
      <c r="I216" s="34">
        <f t="shared" si="156"/>
        <v>10366099</v>
      </c>
      <c r="J216" s="34">
        <f>SUM(J215,J213)</f>
        <v>9834023</v>
      </c>
      <c r="K216" s="324">
        <f>SUM(K215,K213)</f>
        <v>9828313</v>
      </c>
      <c r="L216" s="516">
        <f>SUM(L215,L213)</f>
        <v>11351041</v>
      </c>
      <c r="M216" s="324">
        <f>SUM(M215,M213)</f>
        <v>9515575</v>
      </c>
    </row>
    <row r="217" spans="1:13" ht="10.9" customHeight="1">
      <c r="A217" s="148" t="s">
        <v>155</v>
      </c>
      <c r="B217" s="38"/>
      <c r="C217" s="38">
        <f t="shared" ref="C217:G217" si="157">(C216-B216)/B216</f>
        <v>-4.317009386357186E-2</v>
      </c>
      <c r="D217" s="38">
        <f t="shared" si="157"/>
        <v>0.16538701934732422</v>
      </c>
      <c r="E217" s="38">
        <f t="shared" si="157"/>
        <v>-8.4649761442935179E-2</v>
      </c>
      <c r="F217" s="38">
        <f t="shared" si="157"/>
        <v>-4.4341071677837948E-2</v>
      </c>
      <c r="G217" s="38">
        <f t="shared" si="157"/>
        <v>0.14165709245807068</v>
      </c>
      <c r="H217" s="38">
        <f t="shared" ref="H217:J217" si="158">(H216-G216)/G216</f>
        <v>7.3643637625258593E-2</v>
      </c>
      <c r="I217" s="38">
        <f t="shared" si="158"/>
        <v>9.9011556368279643E-2</v>
      </c>
      <c r="J217" s="38">
        <f t="shared" si="158"/>
        <v>-5.132846985158062E-2</v>
      </c>
      <c r="K217" s="298">
        <f>(K216-J216)/J216</f>
        <v>-5.8063724276422783E-4</v>
      </c>
      <c r="L217" s="508">
        <f>(L216-K216)/K216</f>
        <v>0.15493279467188317</v>
      </c>
      <c r="M217" s="298">
        <f>(M216-L216)/L216</f>
        <v>-0.16170023524714605</v>
      </c>
    </row>
    <row r="218" spans="1:13" ht="13">
      <c r="A218" s="65" t="s">
        <v>58</v>
      </c>
      <c r="B218" s="33">
        <v>-99680</v>
      </c>
      <c r="C218" s="30">
        <v>-64239</v>
      </c>
      <c r="D218" s="30">
        <v>127688</v>
      </c>
      <c r="E218" s="30">
        <v>40672</v>
      </c>
      <c r="F218" s="30">
        <v>212011</v>
      </c>
      <c r="G218" s="94">
        <v>6245</v>
      </c>
      <c r="H218" s="93">
        <v>5342</v>
      </c>
      <c r="I218" s="30">
        <v>59986</v>
      </c>
      <c r="J218" s="30">
        <v>51229</v>
      </c>
      <c r="K218" s="308">
        <f>-9340</f>
        <v>-9340</v>
      </c>
      <c r="L218" s="525">
        <v>-93641</v>
      </c>
      <c r="M218" s="308">
        <v>-1023</v>
      </c>
    </row>
    <row r="219" spans="1:13" ht="13">
      <c r="A219" s="92" t="s">
        <v>81</v>
      </c>
      <c r="B219" s="90"/>
      <c r="C219" s="749"/>
      <c r="D219" s="749"/>
      <c r="E219" s="749"/>
      <c r="F219" s="748"/>
      <c r="G219" s="96"/>
      <c r="H219" s="76"/>
      <c r="I219" s="39"/>
      <c r="J219" s="25"/>
      <c r="K219" s="323"/>
      <c r="L219" s="537"/>
      <c r="M219" s="323"/>
    </row>
    <row r="220" spans="1:13" ht="13">
      <c r="A220" s="65" t="s">
        <v>93</v>
      </c>
      <c r="B220" s="33">
        <v>258454</v>
      </c>
      <c r="C220" s="30">
        <v>291587</v>
      </c>
      <c r="D220" s="30">
        <v>252694</v>
      </c>
      <c r="E220" s="30">
        <v>241219</v>
      </c>
      <c r="F220" s="30">
        <v>257012</v>
      </c>
      <c r="G220" s="94">
        <v>258980</v>
      </c>
      <c r="H220" s="93">
        <v>265364</v>
      </c>
      <c r="I220" s="30">
        <v>270383</v>
      </c>
      <c r="J220" s="30">
        <v>258767</v>
      </c>
      <c r="K220" s="308">
        <v>270229</v>
      </c>
      <c r="L220" s="525">
        <v>288697</v>
      </c>
      <c r="M220" s="308">
        <v>284672</v>
      </c>
    </row>
    <row r="221" spans="1:13" ht="13">
      <c r="A221" s="65" t="s">
        <v>178</v>
      </c>
      <c r="B221" s="33">
        <v>4358236</v>
      </c>
      <c r="C221" s="30">
        <v>4721788</v>
      </c>
      <c r="D221" s="30">
        <v>4337126</v>
      </c>
      <c r="E221" s="30">
        <v>4309552</v>
      </c>
      <c r="F221" s="30">
        <v>4276935</v>
      </c>
      <c r="G221" s="94">
        <v>4161894</v>
      </c>
      <c r="H221" s="93">
        <v>3712083</v>
      </c>
      <c r="I221" s="30">
        <v>3942827</v>
      </c>
      <c r="J221" s="30">
        <v>4032078</v>
      </c>
      <c r="K221" s="308">
        <v>4301655</v>
      </c>
      <c r="L221" s="525">
        <v>4299036</v>
      </c>
      <c r="M221" s="308">
        <v>4940069</v>
      </c>
    </row>
    <row r="222" spans="1:13" ht="13">
      <c r="A222" s="65" t="s">
        <v>82</v>
      </c>
      <c r="B222" s="33">
        <v>918117</v>
      </c>
      <c r="C222" s="30">
        <v>608647</v>
      </c>
      <c r="D222" s="30">
        <v>522831</v>
      </c>
      <c r="E222" s="30">
        <v>777869</v>
      </c>
      <c r="F222" s="30">
        <v>863794</v>
      </c>
      <c r="G222" s="94">
        <v>659948</v>
      </c>
      <c r="H222" s="93">
        <v>728818</v>
      </c>
      <c r="I222" s="30">
        <v>642574</v>
      </c>
      <c r="J222" s="30">
        <f>473304+342614</f>
        <v>815918</v>
      </c>
      <c r="K222" s="308">
        <v>683590</v>
      </c>
      <c r="L222" s="525">
        <f>250903+524629</f>
        <v>775532</v>
      </c>
      <c r="M222" s="308">
        <v>1138479</v>
      </c>
    </row>
    <row r="223" spans="1:13" ht="13">
      <c r="A223" s="65" t="s">
        <v>83</v>
      </c>
      <c r="B223" s="33">
        <v>46138</v>
      </c>
      <c r="C223" s="30">
        <v>46202</v>
      </c>
      <c r="D223" s="30">
        <v>43221</v>
      </c>
      <c r="E223" s="30">
        <v>40658</v>
      </c>
      <c r="F223" s="30">
        <v>39552</v>
      </c>
      <c r="G223" s="94">
        <v>37409</v>
      </c>
      <c r="H223" s="93">
        <v>46073</v>
      </c>
      <c r="I223" s="30">
        <v>140597</v>
      </c>
      <c r="J223" s="30">
        <v>288394</v>
      </c>
      <c r="K223" s="308">
        <v>419715</v>
      </c>
      <c r="L223" s="525">
        <v>381536</v>
      </c>
      <c r="M223" s="308">
        <v>76581</v>
      </c>
    </row>
    <row r="224" spans="1:13" ht="13">
      <c r="A224" s="168" t="s">
        <v>84</v>
      </c>
      <c r="B224" s="34">
        <f>SUM(B220:B223)</f>
        <v>5580945</v>
      </c>
      <c r="C224" s="34">
        <f t="shared" ref="C224:F224" si="159">SUM(C220:C223)</f>
        <v>5668224</v>
      </c>
      <c r="D224" s="34">
        <f t="shared" si="159"/>
        <v>5155872</v>
      </c>
      <c r="E224" s="34">
        <f t="shared" si="159"/>
        <v>5369298</v>
      </c>
      <c r="F224" s="34">
        <f t="shared" si="159"/>
        <v>5437293</v>
      </c>
      <c r="G224" s="34">
        <f t="shared" ref="G224:K224" si="160">SUM(G220:G223)</f>
        <v>5118231</v>
      </c>
      <c r="H224" s="97">
        <f t="shared" si="160"/>
        <v>4752338</v>
      </c>
      <c r="I224" s="50">
        <f t="shared" si="160"/>
        <v>4996381</v>
      </c>
      <c r="J224" s="50">
        <f t="shared" si="160"/>
        <v>5395157</v>
      </c>
      <c r="K224" s="325">
        <f t="shared" si="160"/>
        <v>5675189</v>
      </c>
      <c r="L224" s="539">
        <f t="shared" ref="L224:M224" si="161">SUM(L220:L223)</f>
        <v>5744801</v>
      </c>
      <c r="M224" s="325">
        <f t="shared" si="161"/>
        <v>6439801</v>
      </c>
    </row>
    <row r="225" spans="1:14" ht="10.9" customHeight="1">
      <c r="A225" s="148" t="s">
        <v>155</v>
      </c>
      <c r="B225" s="38"/>
      <c r="C225" s="38">
        <f t="shared" ref="C225:G225" si="162">(C224-B224)/B224</f>
        <v>1.5638749351588307E-2</v>
      </c>
      <c r="D225" s="38">
        <f t="shared" si="162"/>
        <v>-9.03902174649414E-2</v>
      </c>
      <c r="E225" s="38">
        <f t="shared" si="162"/>
        <v>4.1394743701938297E-2</v>
      </c>
      <c r="F225" s="38">
        <f t="shared" si="162"/>
        <v>1.2663666646924794E-2</v>
      </c>
      <c r="G225" s="38">
        <f t="shared" si="162"/>
        <v>-5.8680302863943511E-2</v>
      </c>
      <c r="H225" s="38">
        <f t="shared" ref="H225:J225" si="163">(H224-G224)/G224</f>
        <v>-7.1488176285908159E-2</v>
      </c>
      <c r="I225" s="38">
        <f t="shared" si="163"/>
        <v>5.1352197592006293E-2</v>
      </c>
      <c r="J225" s="38">
        <f t="shared" si="163"/>
        <v>7.9812968626692002E-2</v>
      </c>
      <c r="K225" s="298">
        <f>(K224-J224)/J224</f>
        <v>5.1904328270706485E-2</v>
      </c>
      <c r="L225" s="508">
        <f>(L224-K224)/K224</f>
        <v>1.2266023210856942E-2</v>
      </c>
      <c r="M225" s="298">
        <f>(M224-L224)/L224</f>
        <v>0.12097895122912003</v>
      </c>
    </row>
    <row r="226" spans="1:14" ht="13">
      <c r="A226" s="65" t="s">
        <v>85</v>
      </c>
      <c r="B226" s="33">
        <v>75240</v>
      </c>
      <c r="C226" s="30">
        <v>54899</v>
      </c>
      <c r="D226" s="30">
        <v>48313</v>
      </c>
      <c r="E226" s="30">
        <v>50667</v>
      </c>
      <c r="F226" s="30">
        <v>48267</v>
      </c>
      <c r="G226" s="94">
        <v>58847</v>
      </c>
      <c r="H226" s="93">
        <v>56275</v>
      </c>
      <c r="I226" s="30">
        <v>53581</v>
      </c>
      <c r="J226" s="30">
        <v>55952</v>
      </c>
      <c r="K226" s="308">
        <v>47906</v>
      </c>
      <c r="L226" s="525">
        <v>43821</v>
      </c>
      <c r="M226" s="308">
        <v>45273</v>
      </c>
    </row>
    <row r="227" spans="1:14" ht="13">
      <c r="A227" s="65" t="s">
        <v>86</v>
      </c>
      <c r="B227" s="33">
        <v>1352646</v>
      </c>
      <c r="C227" s="30">
        <v>1377859</v>
      </c>
      <c r="D227" s="30">
        <v>1660611</v>
      </c>
      <c r="E227" s="30">
        <v>1656587</v>
      </c>
      <c r="F227" s="30">
        <v>2018758</v>
      </c>
      <c r="G227" s="94">
        <v>2011534</v>
      </c>
      <c r="H227" s="93">
        <v>1850847</v>
      </c>
      <c r="I227" s="30">
        <v>2202473</v>
      </c>
      <c r="J227" s="30">
        <f>1857032+494065</f>
        <v>2351097</v>
      </c>
      <c r="K227" s="308">
        <v>2547306</v>
      </c>
      <c r="L227" s="525">
        <f>1960433+571314</f>
        <v>2531747</v>
      </c>
      <c r="M227" s="308">
        <v>3351860</v>
      </c>
    </row>
    <row r="228" spans="1:14" ht="13">
      <c r="A228" s="64" t="s">
        <v>87</v>
      </c>
      <c r="B228" s="34">
        <f>SUM(B226:B227)</f>
        <v>1427886</v>
      </c>
      <c r="C228" s="34">
        <f t="shared" ref="C228:F228" si="164">SUM(C226:C227)</f>
        <v>1432758</v>
      </c>
      <c r="D228" s="34">
        <f t="shared" si="164"/>
        <v>1708924</v>
      </c>
      <c r="E228" s="34">
        <f t="shared" si="164"/>
        <v>1707254</v>
      </c>
      <c r="F228" s="34">
        <f t="shared" si="164"/>
        <v>2067025</v>
      </c>
      <c r="G228" s="34">
        <f t="shared" ref="G228:H228" si="165">SUM(G226:G227)</f>
        <v>2070381</v>
      </c>
      <c r="H228" s="95">
        <f t="shared" si="165"/>
        <v>1907122</v>
      </c>
      <c r="I228" s="34">
        <f>SUM(I226:I227)</f>
        <v>2256054</v>
      </c>
      <c r="J228" s="34">
        <f>SUM(J226:J227)</f>
        <v>2407049</v>
      </c>
      <c r="K228" s="324">
        <f>SUM(K226:K227)</f>
        <v>2595212</v>
      </c>
      <c r="L228" s="516">
        <f>SUM(L226:L227)</f>
        <v>2575568</v>
      </c>
      <c r="M228" s="324">
        <f>SUM(M226:M227)</f>
        <v>3397133</v>
      </c>
    </row>
    <row r="229" spans="1:14" ht="10.9" customHeight="1">
      <c r="A229" s="148" t="s">
        <v>155</v>
      </c>
      <c r="B229" s="38"/>
      <c r="C229" s="38">
        <f t="shared" ref="C229:G229" si="166">(C228-B228)/B228</f>
        <v>3.4120370953983721E-3</v>
      </c>
      <c r="D229" s="38">
        <f t="shared" si="166"/>
        <v>0.19275132297289563</v>
      </c>
      <c r="E229" s="38">
        <f t="shared" si="166"/>
        <v>-9.7722309476606342E-4</v>
      </c>
      <c r="F229" s="38">
        <f t="shared" si="166"/>
        <v>0.21073079928352781</v>
      </c>
      <c r="G229" s="38">
        <f t="shared" si="166"/>
        <v>1.6235894582794113E-3</v>
      </c>
      <c r="H229" s="38">
        <f t="shared" ref="H229:J229" si="167">(H228-G228)/G228</f>
        <v>-7.8854568313754814E-2</v>
      </c>
      <c r="I229" s="38">
        <f t="shared" si="167"/>
        <v>0.1829626001902343</v>
      </c>
      <c r="J229" s="38">
        <f t="shared" si="167"/>
        <v>6.6928805782131104E-2</v>
      </c>
      <c r="K229" s="298">
        <f>(K228-J228)/J228</f>
        <v>7.8171653339836458E-2</v>
      </c>
      <c r="L229" s="508">
        <f>(L228-K228)/K228</f>
        <v>-7.5693238163202078E-3</v>
      </c>
      <c r="M229" s="298">
        <f>(M228-L228)/L228</f>
        <v>0.31898400663465304</v>
      </c>
    </row>
    <row r="230" spans="1:14" ht="13">
      <c r="A230" s="64" t="s">
        <v>26</v>
      </c>
      <c r="B230" s="34">
        <f>SUM(B228,B224)</f>
        <v>7008831</v>
      </c>
      <c r="C230" s="34">
        <f t="shared" ref="C230:F230" si="168">SUM(C228,C224)</f>
        <v>7100982</v>
      </c>
      <c r="D230" s="34">
        <f t="shared" si="168"/>
        <v>6864796</v>
      </c>
      <c r="E230" s="34">
        <f t="shared" si="168"/>
        <v>7076552</v>
      </c>
      <c r="F230" s="34">
        <f t="shared" si="168"/>
        <v>7504318</v>
      </c>
      <c r="G230" s="34">
        <f t="shared" ref="G230:K230" si="169">SUM(G228,G224)</f>
        <v>7188612</v>
      </c>
      <c r="H230" s="95">
        <f t="shared" si="169"/>
        <v>6659460</v>
      </c>
      <c r="I230" s="34">
        <f t="shared" si="169"/>
        <v>7252435</v>
      </c>
      <c r="J230" s="34">
        <f t="shared" si="169"/>
        <v>7802206</v>
      </c>
      <c r="K230" s="324">
        <f t="shared" si="169"/>
        <v>8270401</v>
      </c>
      <c r="L230" s="516">
        <f t="shared" ref="L230:M230" si="170">SUM(L228,L224)</f>
        <v>8320369</v>
      </c>
      <c r="M230" s="324">
        <f t="shared" si="170"/>
        <v>9836934</v>
      </c>
      <c r="N230" s="289"/>
    </row>
    <row r="231" spans="1:14" ht="13">
      <c r="A231" s="65" t="s">
        <v>60</v>
      </c>
      <c r="B231" s="33">
        <v>122714</v>
      </c>
      <c r="C231" s="30">
        <v>-50446</v>
      </c>
      <c r="D231" s="30">
        <v>183380</v>
      </c>
      <c r="E231" s="30">
        <v>251005</v>
      </c>
      <c r="F231" s="30">
        <v>303722</v>
      </c>
      <c r="G231" s="94">
        <v>485967</v>
      </c>
      <c r="H231" s="93">
        <v>388844</v>
      </c>
      <c r="I231" s="30">
        <v>195775</v>
      </c>
      <c r="J231" s="30">
        <v>440992</v>
      </c>
      <c r="K231" s="308">
        <f>-18448</f>
        <v>-18448</v>
      </c>
      <c r="L231" s="525">
        <v>198334</v>
      </c>
      <c r="M231" s="308">
        <v>627674</v>
      </c>
    </row>
    <row r="232" spans="1:14" ht="13">
      <c r="A232" s="64" t="s">
        <v>88</v>
      </c>
      <c r="B232" s="34">
        <f>SUM(B230:B231)</f>
        <v>7131545</v>
      </c>
      <c r="C232" s="34">
        <f t="shared" ref="C232:F232" si="171">SUM(C230:C231)</f>
        <v>7050536</v>
      </c>
      <c r="D232" s="34">
        <f t="shared" si="171"/>
        <v>7048176</v>
      </c>
      <c r="E232" s="34">
        <f t="shared" si="171"/>
        <v>7327557</v>
      </c>
      <c r="F232" s="34">
        <f t="shared" si="171"/>
        <v>7808040</v>
      </c>
      <c r="G232" s="34">
        <f t="shared" ref="G232:H232" si="172">SUM(G230:G231)</f>
        <v>7674579</v>
      </c>
      <c r="H232" s="95">
        <f t="shared" si="172"/>
        <v>7048304</v>
      </c>
      <c r="I232" s="34">
        <f>SUM(I230:I231)</f>
        <v>7448210</v>
      </c>
      <c r="J232" s="34">
        <f>SUM(J230:J231)</f>
        <v>8243198</v>
      </c>
      <c r="K232" s="324">
        <f>SUM(K230:K231)</f>
        <v>8251953</v>
      </c>
      <c r="L232" s="516">
        <f>SUM(L230:L231)</f>
        <v>8518703</v>
      </c>
      <c r="M232" s="324">
        <f>SUM(M230:M231)</f>
        <v>10464608</v>
      </c>
    </row>
    <row r="233" spans="1:14" ht="10.9" customHeight="1">
      <c r="A233" s="148" t="s">
        <v>155</v>
      </c>
      <c r="B233" s="38"/>
      <c r="C233" s="38">
        <f t="shared" ref="C233:G233" si="173">(C232-B232)/B232</f>
        <v>-1.1359249643660665E-2</v>
      </c>
      <c r="D233" s="38">
        <f t="shared" si="173"/>
        <v>-3.3472632435321229E-4</v>
      </c>
      <c r="E233" s="38">
        <f t="shared" si="173"/>
        <v>3.9638766114807579E-2</v>
      </c>
      <c r="F233" s="38">
        <f t="shared" si="173"/>
        <v>6.5572059009571679E-2</v>
      </c>
      <c r="G233" s="38">
        <f t="shared" si="173"/>
        <v>-1.7092765918207388E-2</v>
      </c>
      <c r="H233" s="38">
        <f t="shared" ref="H233:J233" si="174">(H232-G232)/G232</f>
        <v>-8.1603824783092332E-2</v>
      </c>
      <c r="I233" s="38">
        <f t="shared" si="174"/>
        <v>5.6737904607973774E-2</v>
      </c>
      <c r="J233" s="38">
        <f t="shared" si="174"/>
        <v>0.10673544381804487</v>
      </c>
      <c r="K233" s="298">
        <f>(K232-J232)/J232</f>
        <v>1.0620877965081027E-3</v>
      </c>
      <c r="L233" s="508">
        <f>(L232-K232)/K232</f>
        <v>3.23256809630399E-2</v>
      </c>
      <c r="M233" s="298">
        <f>(M232-L232)/L232</f>
        <v>0.22842737914445427</v>
      </c>
    </row>
    <row r="234" spans="1:14" ht="13">
      <c r="A234" s="92" t="s">
        <v>89</v>
      </c>
      <c r="B234" s="90"/>
      <c r="C234" s="749"/>
      <c r="D234" s="749"/>
      <c r="E234" s="749"/>
      <c r="F234" s="749"/>
      <c r="G234" s="96"/>
      <c r="H234" s="98"/>
      <c r="I234" s="39"/>
      <c r="J234" s="25"/>
      <c r="K234" s="323"/>
      <c r="L234" s="537"/>
      <c r="M234" s="323"/>
    </row>
    <row r="235" spans="1:14" ht="13">
      <c r="A235" s="65" t="s">
        <v>228</v>
      </c>
      <c r="B235" s="90"/>
      <c r="C235" s="749"/>
      <c r="D235" s="749"/>
      <c r="E235" s="749"/>
      <c r="F235" s="749"/>
      <c r="G235" s="96"/>
      <c r="H235" s="98"/>
      <c r="I235" s="39"/>
      <c r="J235" s="25"/>
      <c r="K235" s="323"/>
      <c r="L235" s="538">
        <v>0</v>
      </c>
      <c r="M235" s="588">
        <v>0</v>
      </c>
    </row>
    <row r="236" spans="1:14" ht="13">
      <c r="A236" s="65" t="s">
        <v>65</v>
      </c>
      <c r="B236" s="33">
        <v>1794310</v>
      </c>
      <c r="C236" s="30">
        <v>2024372</v>
      </c>
      <c r="D236" s="30">
        <v>2486055</v>
      </c>
      <c r="E236" s="30">
        <v>2411197</v>
      </c>
      <c r="F236" s="30">
        <v>2157207</v>
      </c>
      <c r="G236" s="94">
        <v>2270925</v>
      </c>
      <c r="H236" s="93">
        <v>3686434</v>
      </c>
      <c r="I236" s="30">
        <v>3704068</v>
      </c>
      <c r="J236" s="30">
        <v>3908536</v>
      </c>
      <c r="K236" s="308">
        <v>3892491</v>
      </c>
      <c r="L236" s="525">
        <v>5595375</v>
      </c>
      <c r="M236" s="308">
        <v>3695103</v>
      </c>
    </row>
    <row r="237" spans="1:14" ht="13">
      <c r="A237" s="65" t="s">
        <v>66</v>
      </c>
      <c r="B237" s="33">
        <v>1900029</v>
      </c>
      <c r="C237" s="30">
        <v>1582876</v>
      </c>
      <c r="D237" s="30">
        <v>2409843</v>
      </c>
      <c r="E237" s="30">
        <v>1156958</v>
      </c>
      <c r="F237" s="30">
        <v>1044446</v>
      </c>
      <c r="G237" s="94">
        <v>1213323</v>
      </c>
      <c r="H237" s="93">
        <v>1524262</v>
      </c>
      <c r="I237" s="30">
        <v>2234232</v>
      </c>
      <c r="J237" s="30">
        <v>1893371</v>
      </c>
      <c r="K237" s="308">
        <v>1693208</v>
      </c>
      <c r="L237" s="525">
        <v>1624685</v>
      </c>
      <c r="M237" s="308">
        <v>1938791</v>
      </c>
    </row>
    <row r="238" spans="1:14" ht="13">
      <c r="A238" s="65" t="s">
        <v>67</v>
      </c>
      <c r="B238" s="30">
        <v>0</v>
      </c>
      <c r="C238" s="30">
        <v>0</v>
      </c>
      <c r="D238" s="30">
        <v>0</v>
      </c>
      <c r="E238" s="30">
        <v>1622237</v>
      </c>
      <c r="F238" s="30">
        <v>1554110</v>
      </c>
      <c r="G238" s="94">
        <v>1733185</v>
      </c>
      <c r="H238" s="93">
        <v>1789387</v>
      </c>
      <c r="I238" s="30">
        <v>2880415</v>
      </c>
      <c r="J238" s="30">
        <v>3319301</v>
      </c>
      <c r="K238" s="308">
        <v>3714872</v>
      </c>
      <c r="L238" s="525">
        <v>3809743</v>
      </c>
      <c r="M238" s="308">
        <v>3043187</v>
      </c>
    </row>
    <row r="239" spans="1:14" ht="13">
      <c r="A239" s="64" t="s">
        <v>90</v>
      </c>
      <c r="B239" s="34">
        <f>SUM(B236:B238)</f>
        <v>3694339</v>
      </c>
      <c r="C239" s="34">
        <f t="shared" ref="C239:F239" si="175">SUM(C236:C238)</f>
        <v>3607248</v>
      </c>
      <c r="D239" s="34">
        <f t="shared" si="175"/>
        <v>4895898</v>
      </c>
      <c r="E239" s="34">
        <f t="shared" si="175"/>
        <v>5190392</v>
      </c>
      <c r="F239" s="34">
        <f t="shared" si="175"/>
        <v>4755763</v>
      </c>
      <c r="G239" s="34">
        <f t="shared" ref="G239:K239" si="176">SUM(G236:G238)</f>
        <v>5217433</v>
      </c>
      <c r="H239" s="95">
        <f t="shared" si="176"/>
        <v>7000083</v>
      </c>
      <c r="I239" s="34">
        <f t="shared" si="176"/>
        <v>8818715</v>
      </c>
      <c r="J239" s="34">
        <f t="shared" si="176"/>
        <v>9121208</v>
      </c>
      <c r="K239" s="309">
        <f t="shared" si="176"/>
        <v>9300571</v>
      </c>
      <c r="L239" s="526">
        <f>SUM(L235:L238)</f>
        <v>11029803</v>
      </c>
      <c r="M239" s="309">
        <f>SUM(M235:M238)</f>
        <v>8677081</v>
      </c>
    </row>
    <row r="240" spans="1:14" ht="10.9" customHeight="1">
      <c r="A240" s="148" t="s">
        <v>155</v>
      </c>
      <c r="B240" s="38"/>
      <c r="C240" s="38">
        <f t="shared" ref="C240:G240" si="177">(C239-B239)/B239</f>
        <v>-2.3574176598303513E-2</v>
      </c>
      <c r="D240" s="38">
        <f t="shared" si="177"/>
        <v>0.35723909196151749</v>
      </c>
      <c r="E240" s="38">
        <f t="shared" si="177"/>
        <v>6.0151171450058806E-2</v>
      </c>
      <c r="F240" s="38">
        <f t="shared" si="177"/>
        <v>-8.3737220618404162E-2</v>
      </c>
      <c r="G240" s="38">
        <f t="shared" si="177"/>
        <v>9.7075905590753783E-2</v>
      </c>
      <c r="H240" s="38">
        <f t="shared" ref="H240:J240" si="178">(H239-G239)/G239</f>
        <v>0.34167185280577633</v>
      </c>
      <c r="I240" s="38">
        <f t="shared" si="178"/>
        <v>0.25980149092517901</v>
      </c>
      <c r="J240" s="38">
        <f t="shared" si="178"/>
        <v>3.4301255908598928E-2</v>
      </c>
      <c r="K240" s="298">
        <f>(K239-J239)/J239</f>
        <v>1.9664390944708201E-2</v>
      </c>
      <c r="L240" s="508">
        <f>(L239-K239)/K239</f>
        <v>0.18592750918196313</v>
      </c>
      <c r="M240" s="298">
        <f>(M239-L239)/L239</f>
        <v>-0.2133058949466278</v>
      </c>
    </row>
    <row r="241" spans="1:13" ht="13">
      <c r="A241" s="169" t="s">
        <v>91</v>
      </c>
      <c r="B241" s="58">
        <f t="shared" ref="B241:H241" si="179">SUM(B204+B216+B218-B232)</f>
        <v>3694339</v>
      </c>
      <c r="C241" s="58">
        <f t="shared" si="179"/>
        <v>3607248</v>
      </c>
      <c r="D241" s="58">
        <f t="shared" si="179"/>
        <v>4895898</v>
      </c>
      <c r="E241" s="58">
        <f t="shared" si="179"/>
        <v>5190392</v>
      </c>
      <c r="F241" s="58">
        <f t="shared" si="179"/>
        <v>4755763</v>
      </c>
      <c r="G241" s="58">
        <f t="shared" si="179"/>
        <v>5217433</v>
      </c>
      <c r="H241" s="99">
        <f t="shared" si="179"/>
        <v>7000083</v>
      </c>
      <c r="I241" s="58">
        <f>SUM(I204+I216+I218-I232)</f>
        <v>8818715</v>
      </c>
      <c r="J241" s="58">
        <f>SUM(J204+J216+J218-J232)</f>
        <v>9121209</v>
      </c>
      <c r="K241" s="326">
        <f>SUM(K204+K216+K218-K232)</f>
        <v>9300571</v>
      </c>
      <c r="L241" s="540">
        <f>SUM(L204+L216+L218-L232)</f>
        <v>11041476</v>
      </c>
      <c r="M241" s="326">
        <f>SUM(M204+M216+M218-M232)</f>
        <v>8677081</v>
      </c>
    </row>
    <row r="242" spans="1:13" ht="13">
      <c r="A242" s="161" t="s">
        <v>175</v>
      </c>
      <c r="B242" s="170">
        <f>SUM(B239/B232)</f>
        <v>0.51802786072302709</v>
      </c>
      <c r="C242" s="170">
        <f t="shared" ref="C242:F242" si="180">SUM(C239/C232)</f>
        <v>0.51162748477562559</v>
      </c>
      <c r="D242" s="170">
        <f t="shared" si="180"/>
        <v>0.69463333492239698</v>
      </c>
      <c r="E242" s="170">
        <f t="shared" si="180"/>
        <v>0.70833867276638041</v>
      </c>
      <c r="F242" s="170">
        <f t="shared" si="180"/>
        <v>0.60908537866097001</v>
      </c>
      <c r="G242" s="170">
        <f t="shared" ref="G242:K242" si="181">SUM(G239/G232)</f>
        <v>0.67983312179078492</v>
      </c>
      <c r="H242" s="171">
        <f t="shared" si="181"/>
        <v>0.99315849600130757</v>
      </c>
      <c r="I242" s="170">
        <f t="shared" si="181"/>
        <v>1.1840046131889408</v>
      </c>
      <c r="J242" s="170">
        <f t="shared" si="181"/>
        <v>1.1065132731253089</v>
      </c>
      <c r="K242" s="327">
        <f t="shared" si="181"/>
        <v>1.1270751299722623</v>
      </c>
      <c r="L242" s="541">
        <f t="shared" ref="L242:M242" si="182">SUM(L239/L232)</f>
        <v>1.294774920548351</v>
      </c>
      <c r="M242" s="327">
        <f t="shared" si="182"/>
        <v>0.82918356808014215</v>
      </c>
    </row>
    <row r="243" spans="1:13" s="149" customFormat="1" ht="10.15" customHeight="1">
      <c r="A243" s="155"/>
      <c r="B243" s="156"/>
      <c r="C243" s="156"/>
      <c r="D243" s="156"/>
      <c r="E243" s="156"/>
      <c r="F243" s="750"/>
      <c r="G243" s="155"/>
      <c r="H243" s="157"/>
      <c r="I243" s="157"/>
      <c r="J243" s="158"/>
      <c r="K243" s="320"/>
      <c r="L243" s="535"/>
      <c r="M243" s="320"/>
    </row>
    <row r="244" spans="1:13" ht="13">
      <c r="A244" s="126"/>
      <c r="B244" s="18" t="s">
        <v>118</v>
      </c>
      <c r="C244" s="751" t="s">
        <v>307</v>
      </c>
      <c r="D244" s="19" t="s">
        <v>316</v>
      </c>
      <c r="E244" s="751" t="s">
        <v>309</v>
      </c>
      <c r="F244" s="741" t="s">
        <v>322</v>
      </c>
      <c r="G244" s="101" t="s">
        <v>117</v>
      </c>
      <c r="H244" s="19" t="s">
        <v>122</v>
      </c>
      <c r="I244" s="102" t="s">
        <v>160</v>
      </c>
      <c r="J244" s="73" t="s">
        <v>159</v>
      </c>
      <c r="K244" s="365" t="s">
        <v>213</v>
      </c>
      <c r="L244" s="530" t="str">
        <f>L2</f>
        <v>CY'2016</v>
      </c>
      <c r="M244" s="584" t="str">
        <f>M2</f>
        <v>CY'2017</v>
      </c>
    </row>
    <row r="245" spans="1:13" ht="13">
      <c r="A245" s="164" t="s">
        <v>99</v>
      </c>
      <c r="B245" s="61" t="s">
        <v>138</v>
      </c>
      <c r="C245" s="146" t="s">
        <v>335</v>
      </c>
      <c r="D245" s="61" t="s">
        <v>336</v>
      </c>
      <c r="E245" s="146" t="s">
        <v>337</v>
      </c>
      <c r="F245" s="61" t="s">
        <v>338</v>
      </c>
      <c r="G245" s="146" t="s">
        <v>137</v>
      </c>
      <c r="H245" s="61" t="s">
        <v>171</v>
      </c>
      <c r="I245" s="147" t="s">
        <v>170</v>
      </c>
      <c r="J245" s="142" t="s">
        <v>169</v>
      </c>
      <c r="K245" s="329" t="s">
        <v>219</v>
      </c>
      <c r="L245" s="531" t="s">
        <v>226</v>
      </c>
      <c r="M245" s="585" t="s">
        <v>240</v>
      </c>
    </row>
    <row r="246" spans="1:13" ht="13">
      <c r="A246" s="92" t="s">
        <v>64</v>
      </c>
      <c r="B246" s="25"/>
      <c r="C246" s="752"/>
      <c r="D246" s="25"/>
      <c r="E246" s="752"/>
      <c r="F246" s="25"/>
      <c r="G246" s="103"/>
      <c r="H246" s="25"/>
      <c r="I246" s="357"/>
      <c r="J246" s="25"/>
      <c r="K246" s="328"/>
      <c r="L246" s="521"/>
      <c r="M246" s="582"/>
    </row>
    <row r="247" spans="1:13" ht="13">
      <c r="A247" s="65" t="s">
        <v>228</v>
      </c>
      <c r="B247" s="25"/>
      <c r="C247" s="752"/>
      <c r="D247" s="25"/>
      <c r="E247" s="752"/>
      <c r="F247" s="25"/>
      <c r="G247" s="103"/>
      <c r="H247" s="25"/>
      <c r="I247" s="357"/>
      <c r="J247" s="25"/>
      <c r="K247" s="328"/>
      <c r="L247" s="515">
        <v>0</v>
      </c>
      <c r="M247" s="580"/>
    </row>
    <row r="248" spans="1:13" ht="13">
      <c r="A248" s="65" t="s">
        <v>65</v>
      </c>
      <c r="B248" s="30">
        <v>1794310</v>
      </c>
      <c r="C248" s="104">
        <v>2024372</v>
      </c>
      <c r="D248" s="30">
        <v>2486055</v>
      </c>
      <c r="E248" s="104">
        <v>2411197</v>
      </c>
      <c r="F248" s="30">
        <v>2157207</v>
      </c>
      <c r="G248" s="105">
        <v>2270925</v>
      </c>
      <c r="H248" s="30">
        <v>3686434</v>
      </c>
      <c r="I248" s="106">
        <v>3704068</v>
      </c>
      <c r="J248" s="30">
        <v>3907986</v>
      </c>
      <c r="K248" s="330">
        <v>3892491</v>
      </c>
      <c r="L248" s="481">
        <v>5594101</v>
      </c>
      <c r="M248" s="692"/>
    </row>
    <row r="249" spans="1:13" ht="13">
      <c r="A249" s="65" t="s">
        <v>66</v>
      </c>
      <c r="B249" s="30">
        <v>1900029</v>
      </c>
      <c r="C249" s="104">
        <v>1582876</v>
      </c>
      <c r="D249" s="30">
        <v>2409843</v>
      </c>
      <c r="E249" s="104">
        <v>1156958</v>
      </c>
      <c r="F249" s="30">
        <v>1044446</v>
      </c>
      <c r="G249" s="105">
        <v>1213323</v>
      </c>
      <c r="H249" s="30">
        <v>1524262</v>
      </c>
      <c r="I249" s="106">
        <v>2234232</v>
      </c>
      <c r="J249" s="30">
        <v>1893371</v>
      </c>
      <c r="K249" s="330">
        <v>1693208</v>
      </c>
      <c r="L249" s="481">
        <v>1624685</v>
      </c>
      <c r="M249" s="692"/>
    </row>
    <row r="250" spans="1:13" ht="13">
      <c r="A250" s="65" t="s">
        <v>67</v>
      </c>
      <c r="B250" s="30">
        <v>0</v>
      </c>
      <c r="C250" s="104">
        <v>0</v>
      </c>
      <c r="D250" s="30">
        <v>0</v>
      </c>
      <c r="E250" s="104">
        <v>1622237</v>
      </c>
      <c r="F250" s="30">
        <v>1554110</v>
      </c>
      <c r="G250" s="105">
        <v>1733185</v>
      </c>
      <c r="H250" s="30">
        <v>1789387</v>
      </c>
      <c r="I250" s="106">
        <v>2880415</v>
      </c>
      <c r="J250" s="30">
        <v>3319301</v>
      </c>
      <c r="K250" s="330">
        <v>3714872</v>
      </c>
      <c r="L250" s="481">
        <v>3809743</v>
      </c>
      <c r="M250" s="692"/>
    </row>
    <row r="251" spans="1:13" ht="13">
      <c r="A251" s="65" t="s">
        <v>68</v>
      </c>
      <c r="B251" s="33">
        <f>SUM(B248:B250)</f>
        <v>3694339</v>
      </c>
      <c r="C251" s="104">
        <f t="shared" ref="C251:F251" si="183">SUM(C248:C250)</f>
        <v>3607248</v>
      </c>
      <c r="D251" s="33">
        <f t="shared" si="183"/>
        <v>4895898</v>
      </c>
      <c r="E251" s="104">
        <f t="shared" si="183"/>
        <v>5190392</v>
      </c>
      <c r="F251" s="33">
        <f t="shared" si="183"/>
        <v>4755763</v>
      </c>
      <c r="G251" s="107">
        <f t="shared" ref="G251:J251" si="184">SUM(G248:G250)</f>
        <v>5217433</v>
      </c>
      <c r="H251" s="37">
        <f t="shared" si="184"/>
        <v>7000083</v>
      </c>
      <c r="I251" s="107">
        <f t="shared" si="184"/>
        <v>8818715</v>
      </c>
      <c r="J251" s="34">
        <f t="shared" si="184"/>
        <v>9120658</v>
      </c>
      <c r="K251" s="330">
        <f>SUM(K248:K250)</f>
        <v>9300571</v>
      </c>
      <c r="L251" s="505">
        <f>SUM(L247:L250)</f>
        <v>11028529</v>
      </c>
      <c r="M251" s="577">
        <f>SUM(M247:M250)</f>
        <v>0</v>
      </c>
    </row>
    <row r="252" spans="1:13" ht="13">
      <c r="A252" s="65" t="s">
        <v>69</v>
      </c>
      <c r="B252" s="30">
        <v>-1</v>
      </c>
      <c r="C252" s="104">
        <v>-3681</v>
      </c>
      <c r="D252" s="42">
        <v>763</v>
      </c>
      <c r="E252" s="104">
        <v>20670</v>
      </c>
      <c r="F252" s="30">
        <v>5674</v>
      </c>
      <c r="G252" s="108">
        <v>29575</v>
      </c>
      <c r="H252" s="32">
        <v>5453</v>
      </c>
      <c r="I252" s="109">
        <v>-447</v>
      </c>
      <c r="J252" s="42"/>
      <c r="K252" s="331">
        <v>189112</v>
      </c>
      <c r="L252" s="510">
        <v>-39</v>
      </c>
      <c r="M252" s="578"/>
    </row>
    <row r="253" spans="1:13" ht="13">
      <c r="A253" s="64" t="s">
        <v>70</v>
      </c>
      <c r="B253" s="50">
        <f>SUM(B251:B252)</f>
        <v>3694338</v>
      </c>
      <c r="C253" s="111">
        <f t="shared" ref="C253:F253" si="185">SUM(C251:C252)</f>
        <v>3603567</v>
      </c>
      <c r="D253" s="50">
        <f t="shared" si="185"/>
        <v>4896661</v>
      </c>
      <c r="E253" s="111">
        <f t="shared" si="185"/>
        <v>5211062</v>
      </c>
      <c r="F253" s="34">
        <f t="shared" si="185"/>
        <v>4761437</v>
      </c>
      <c r="G253" s="111">
        <f t="shared" ref="G253:I253" si="186">SUM(G251:G252)</f>
        <v>5247008</v>
      </c>
      <c r="H253" s="37">
        <f t="shared" si="186"/>
        <v>7005536</v>
      </c>
      <c r="I253" s="107">
        <f t="shared" si="186"/>
        <v>8818268</v>
      </c>
      <c r="J253" s="34">
        <f>SUM(J251:J252)</f>
        <v>9120658</v>
      </c>
      <c r="K253" s="332">
        <f>K252+K251</f>
        <v>9489683</v>
      </c>
      <c r="L253" s="542">
        <f>L252+L251</f>
        <v>11028490</v>
      </c>
      <c r="M253" s="589">
        <f>M252+M251</f>
        <v>0</v>
      </c>
    </row>
    <row r="254" spans="1:13" ht="10.9" customHeight="1">
      <c r="A254" s="148" t="s">
        <v>155</v>
      </c>
      <c r="B254" s="38"/>
      <c r="C254" s="38">
        <f t="shared" ref="C254:G254" si="187">(C253-B253)/B253</f>
        <v>-2.4570301905239855E-2</v>
      </c>
      <c r="D254" s="38">
        <f t="shared" si="187"/>
        <v>0.35883722988916261</v>
      </c>
      <c r="E254" s="38">
        <f t="shared" si="187"/>
        <v>6.4207222023333857E-2</v>
      </c>
      <c r="F254" s="38">
        <f t="shared" si="187"/>
        <v>-8.6282796097993081E-2</v>
      </c>
      <c r="G254" s="38">
        <f t="shared" si="187"/>
        <v>0.10197992748827717</v>
      </c>
      <c r="H254" s="38">
        <f t="shared" ref="H254:M254" si="188">(H253-G253)/G253</f>
        <v>0.33514871713555611</v>
      </c>
      <c r="I254" s="38">
        <f t="shared" si="188"/>
        <v>0.25875707440515616</v>
      </c>
      <c r="J254" s="38">
        <f t="shared" si="188"/>
        <v>3.4291314348804093E-2</v>
      </c>
      <c r="K254" s="298">
        <f t="shared" si="188"/>
        <v>4.0460348365216635E-2</v>
      </c>
      <c r="L254" s="508">
        <f t="shared" si="188"/>
        <v>0.16215578539346362</v>
      </c>
      <c r="M254" s="298">
        <f t="shared" si="188"/>
        <v>-1</v>
      </c>
    </row>
    <row r="255" spans="1:13" ht="13">
      <c r="A255" s="92" t="s">
        <v>71</v>
      </c>
      <c r="B255" s="39"/>
      <c r="C255" s="752"/>
      <c r="D255" s="25"/>
      <c r="E255" s="752"/>
      <c r="F255" s="25"/>
      <c r="G255" s="113"/>
      <c r="H255" s="28"/>
      <c r="I255" s="357"/>
      <c r="J255" s="25"/>
      <c r="K255" s="333"/>
      <c r="L255" s="532"/>
      <c r="M255" s="586"/>
    </row>
    <row r="256" spans="1:13" ht="13">
      <c r="A256" s="65" t="s">
        <v>72</v>
      </c>
      <c r="B256" s="30">
        <v>0</v>
      </c>
      <c r="C256" s="104">
        <v>0</v>
      </c>
      <c r="D256" s="42">
        <v>0</v>
      </c>
      <c r="E256" s="104">
        <v>0</v>
      </c>
      <c r="F256" s="42">
        <v>0</v>
      </c>
      <c r="G256" s="112">
        <v>0</v>
      </c>
      <c r="H256" s="30">
        <v>0</v>
      </c>
      <c r="I256" s="106">
        <v>0</v>
      </c>
      <c r="J256" s="42">
        <v>195</v>
      </c>
      <c r="K256" s="328">
        <v>0</v>
      </c>
      <c r="L256" s="521">
        <v>0</v>
      </c>
      <c r="M256" s="582">
        <v>0</v>
      </c>
    </row>
    <row r="257" spans="1:13" ht="13">
      <c r="A257" s="65" t="s">
        <v>73</v>
      </c>
      <c r="B257" s="30">
        <v>0</v>
      </c>
      <c r="C257" s="104">
        <v>0</v>
      </c>
      <c r="D257" s="42">
        <v>0</v>
      </c>
      <c r="E257" s="104">
        <v>0</v>
      </c>
      <c r="F257" s="42">
        <v>0</v>
      </c>
      <c r="G257" s="112">
        <v>0</v>
      </c>
      <c r="H257" s="30">
        <v>0</v>
      </c>
      <c r="I257" s="106">
        <v>0</v>
      </c>
      <c r="J257" s="42">
        <v>0</v>
      </c>
      <c r="K257" s="328">
        <v>0</v>
      </c>
      <c r="L257" s="521">
        <v>0</v>
      </c>
      <c r="M257" s="582">
        <v>0</v>
      </c>
    </row>
    <row r="258" spans="1:13" ht="13">
      <c r="A258" s="65" t="s">
        <v>74</v>
      </c>
      <c r="B258" s="30">
        <v>0</v>
      </c>
      <c r="C258" s="104">
        <v>0</v>
      </c>
      <c r="D258" s="42">
        <v>0</v>
      </c>
      <c r="E258" s="104">
        <v>0</v>
      </c>
      <c r="F258" s="42">
        <v>0</v>
      </c>
      <c r="G258" s="112">
        <v>0</v>
      </c>
      <c r="H258" s="30">
        <v>0</v>
      </c>
      <c r="I258" s="106">
        <v>0</v>
      </c>
      <c r="J258" s="42">
        <v>754</v>
      </c>
      <c r="K258" s="328">
        <v>876</v>
      </c>
      <c r="L258" s="521">
        <v>0</v>
      </c>
      <c r="M258" s="582">
        <v>0</v>
      </c>
    </row>
    <row r="259" spans="1:13" ht="13">
      <c r="A259" s="65" t="s">
        <v>75</v>
      </c>
      <c r="B259" s="30">
        <v>0</v>
      </c>
      <c r="C259" s="104">
        <v>0</v>
      </c>
      <c r="D259" s="42">
        <v>0</v>
      </c>
      <c r="E259" s="104">
        <v>0</v>
      </c>
      <c r="F259" s="42">
        <v>0</v>
      </c>
      <c r="G259" s="112">
        <v>0</v>
      </c>
      <c r="H259" s="30">
        <v>0</v>
      </c>
      <c r="I259" s="106">
        <v>0</v>
      </c>
      <c r="J259" s="42">
        <v>0</v>
      </c>
      <c r="K259" s="328">
        <v>0</v>
      </c>
      <c r="L259" s="521">
        <v>0</v>
      </c>
      <c r="M259" s="582">
        <v>0</v>
      </c>
    </row>
    <row r="260" spans="1:13" ht="13">
      <c r="A260" s="65" t="s">
        <v>76</v>
      </c>
      <c r="B260" s="30">
        <v>0</v>
      </c>
      <c r="C260" s="104">
        <v>0</v>
      </c>
      <c r="D260" s="42">
        <v>0</v>
      </c>
      <c r="E260" s="104">
        <v>0</v>
      </c>
      <c r="F260" s="42">
        <v>0</v>
      </c>
      <c r="G260" s="112">
        <v>0</v>
      </c>
      <c r="H260" s="30">
        <v>0</v>
      </c>
      <c r="I260" s="106">
        <v>0</v>
      </c>
      <c r="J260" s="42">
        <v>0</v>
      </c>
      <c r="K260" s="328">
        <v>0</v>
      </c>
      <c r="L260" s="521">
        <v>0</v>
      </c>
      <c r="M260" s="582">
        <v>0</v>
      </c>
    </row>
    <row r="261" spans="1:13" ht="13">
      <c r="A261" s="65" t="s">
        <v>77</v>
      </c>
      <c r="B261" s="30">
        <v>0</v>
      </c>
      <c r="C261" s="104">
        <v>0</v>
      </c>
      <c r="D261" s="42">
        <v>0</v>
      </c>
      <c r="E261" s="104">
        <v>0</v>
      </c>
      <c r="F261" s="42">
        <v>0</v>
      </c>
      <c r="G261" s="112">
        <v>0</v>
      </c>
      <c r="H261" s="30">
        <v>0</v>
      </c>
      <c r="I261" s="106">
        <v>0</v>
      </c>
      <c r="J261" s="42">
        <v>0</v>
      </c>
      <c r="K261" s="328">
        <v>0</v>
      </c>
      <c r="L261" s="521">
        <v>0</v>
      </c>
      <c r="M261" s="582">
        <v>0</v>
      </c>
    </row>
    <row r="262" spans="1:13" ht="13">
      <c r="A262" s="67" t="s">
        <v>78</v>
      </c>
      <c r="B262" s="30">
        <f>SUM(B256:B261)</f>
        <v>0</v>
      </c>
      <c r="C262" s="104">
        <f>SUM(C256:C261)</f>
        <v>0</v>
      </c>
      <c r="D262" s="30">
        <f>SUM(D256:D261)</f>
        <v>0</v>
      </c>
      <c r="E262" s="104">
        <v>0</v>
      </c>
      <c r="F262" s="33">
        <v>0</v>
      </c>
      <c r="G262" s="104">
        <v>0</v>
      </c>
      <c r="H262" s="30">
        <v>0</v>
      </c>
      <c r="I262" s="107">
        <v>0</v>
      </c>
      <c r="J262" s="57">
        <f>SUM(J256:J261)</f>
        <v>949</v>
      </c>
      <c r="K262" s="328">
        <f>SUM(K256:K261)</f>
        <v>876</v>
      </c>
      <c r="L262" s="521">
        <f>SUM(L256:L261)</f>
        <v>0</v>
      </c>
      <c r="M262" s="582">
        <f>SUM(M256:M261)</f>
        <v>0</v>
      </c>
    </row>
    <row r="263" spans="1:13" ht="10.9" customHeight="1">
      <c r="A263" s="148" t="s">
        <v>155</v>
      </c>
      <c r="B263" s="38"/>
      <c r="C263" s="38">
        <v>0</v>
      </c>
      <c r="D263" s="38">
        <v>0</v>
      </c>
      <c r="E263" s="38">
        <v>0</v>
      </c>
      <c r="F263" s="38">
        <v>0</v>
      </c>
      <c r="G263" s="38">
        <v>0</v>
      </c>
      <c r="H263" s="38">
        <v>0</v>
      </c>
      <c r="I263" s="38">
        <v>0</v>
      </c>
      <c r="J263" s="38">
        <v>0</v>
      </c>
      <c r="K263" s="298">
        <f>(K262-J262)/J262</f>
        <v>-7.6923076923076927E-2</v>
      </c>
      <c r="L263" s="508">
        <f>(L262-K262)/K262</f>
        <v>-1</v>
      </c>
      <c r="M263" s="298" t="e">
        <f>(M262-L262)/L262</f>
        <v>#DIV/0!</v>
      </c>
    </row>
    <row r="264" spans="1:13" ht="10.9" customHeight="1">
      <c r="A264" s="65" t="s">
        <v>79</v>
      </c>
      <c r="B264" s="290"/>
      <c r="C264" s="358"/>
      <c r="D264" s="290"/>
      <c r="E264" s="358"/>
      <c r="F264" s="290"/>
      <c r="G264" s="358"/>
      <c r="H264" s="290"/>
      <c r="I264" s="358"/>
      <c r="J264" s="307">
        <v>71297</v>
      </c>
      <c r="K264" s="334">
        <v>28511</v>
      </c>
      <c r="L264" s="525">
        <v>19898</v>
      </c>
      <c r="M264" s="308"/>
    </row>
    <row r="265" spans="1:13" ht="13">
      <c r="A265" s="64" t="s">
        <v>80</v>
      </c>
      <c r="B265" s="50">
        <f>SUM(B262,B264)</f>
        <v>0</v>
      </c>
      <c r="C265" s="107">
        <f t="shared" ref="C265:F265" si="189">SUM(C262,C264)</f>
        <v>0</v>
      </c>
      <c r="D265" s="50">
        <f t="shared" si="189"/>
        <v>0</v>
      </c>
      <c r="E265" s="107">
        <f t="shared" si="189"/>
        <v>0</v>
      </c>
      <c r="F265" s="50">
        <f t="shared" si="189"/>
        <v>0</v>
      </c>
      <c r="G265" s="107">
        <f t="shared" ref="G265:J265" si="190">SUM(G262,G264)</f>
        <v>0</v>
      </c>
      <c r="H265" s="50">
        <f t="shared" si="190"/>
        <v>0</v>
      </c>
      <c r="I265" s="107">
        <f t="shared" si="190"/>
        <v>0</v>
      </c>
      <c r="J265" s="50">
        <f t="shared" si="190"/>
        <v>72246</v>
      </c>
      <c r="K265" s="107">
        <f>SUM(K262,K264)</f>
        <v>29387</v>
      </c>
      <c r="L265" s="489">
        <f t="shared" ref="L265:M265" si="191">SUM(L262,L264)</f>
        <v>19898</v>
      </c>
      <c r="M265" s="34">
        <f t="shared" si="191"/>
        <v>0</v>
      </c>
    </row>
    <row r="266" spans="1:13" ht="10.9" customHeight="1">
      <c r="A266" s="148" t="s">
        <v>155</v>
      </c>
      <c r="B266" s="38"/>
      <c r="C266" s="38">
        <v>0</v>
      </c>
      <c r="D266" s="38">
        <v>0</v>
      </c>
      <c r="E266" s="38">
        <v>0</v>
      </c>
      <c r="F266" s="38">
        <v>0</v>
      </c>
      <c r="G266" s="38">
        <v>0</v>
      </c>
      <c r="H266" s="38">
        <v>0</v>
      </c>
      <c r="I266" s="38">
        <v>0</v>
      </c>
      <c r="J266" s="38">
        <v>0</v>
      </c>
      <c r="K266" s="298">
        <f>(K265-J265)/J265</f>
        <v>-0.5932369958198378</v>
      </c>
      <c r="L266" s="508">
        <f>(L265-K265)/K265</f>
        <v>-0.3228978800149726</v>
      </c>
      <c r="M266" s="298">
        <f>(M265-L265)/L265</f>
        <v>-1</v>
      </c>
    </row>
    <row r="267" spans="1:13" ht="13">
      <c r="A267" s="65" t="s">
        <v>58</v>
      </c>
      <c r="B267" s="30">
        <v>13657</v>
      </c>
      <c r="C267" s="104">
        <v>2626</v>
      </c>
      <c r="D267" s="42">
        <v>77</v>
      </c>
      <c r="E267" s="104">
        <v>2881</v>
      </c>
      <c r="F267" s="33">
        <v>71649</v>
      </c>
      <c r="G267" s="112">
        <v>614</v>
      </c>
      <c r="H267" s="370">
        <v>-11136</v>
      </c>
      <c r="I267" s="106">
        <v>32897</v>
      </c>
      <c r="J267" s="255">
        <v>-3223</v>
      </c>
      <c r="K267" s="339">
        <v>-18729</v>
      </c>
      <c r="L267" s="523">
        <v>-20066</v>
      </c>
      <c r="M267" s="307"/>
    </row>
    <row r="268" spans="1:13" ht="13">
      <c r="A268" s="92" t="s">
        <v>81</v>
      </c>
      <c r="B268" s="39"/>
      <c r="C268" s="753"/>
      <c r="D268" s="25"/>
      <c r="E268" s="753"/>
      <c r="F268" s="114"/>
      <c r="G268" s="113"/>
      <c r="H268" s="28"/>
      <c r="I268" s="115"/>
      <c r="J268" s="25"/>
      <c r="K268" s="333"/>
      <c r="L268" s="532"/>
      <c r="M268" s="586"/>
    </row>
    <row r="269" spans="1:13" ht="13">
      <c r="A269" s="65" t="s">
        <v>93</v>
      </c>
      <c r="B269" s="30">
        <v>0</v>
      </c>
      <c r="C269" s="104">
        <v>0</v>
      </c>
      <c r="D269" s="42">
        <v>0</v>
      </c>
      <c r="E269" s="104">
        <v>0</v>
      </c>
      <c r="F269" s="33">
        <v>0</v>
      </c>
      <c r="G269" s="108">
        <v>0</v>
      </c>
      <c r="H269" s="32">
        <v>0</v>
      </c>
      <c r="I269" s="106">
        <v>0</v>
      </c>
      <c r="J269" s="42">
        <v>0</v>
      </c>
      <c r="K269" s="331">
        <v>0</v>
      </c>
      <c r="L269" s="510">
        <v>0</v>
      </c>
      <c r="M269" s="578"/>
    </row>
    <row r="270" spans="1:13" ht="13">
      <c r="A270" s="65" t="s">
        <v>178</v>
      </c>
      <c r="B270" s="30">
        <v>551335</v>
      </c>
      <c r="C270" s="104">
        <v>450453</v>
      </c>
      <c r="D270" s="42">
        <v>364705</v>
      </c>
      <c r="E270" s="104">
        <v>361906</v>
      </c>
      <c r="F270" s="33">
        <v>437729</v>
      </c>
      <c r="G270" s="108">
        <v>409204</v>
      </c>
      <c r="H270" s="32">
        <v>643916</v>
      </c>
      <c r="I270" s="106">
        <v>641938</v>
      </c>
      <c r="J270" s="30">
        <v>802928</v>
      </c>
      <c r="K270" s="331">
        <v>704584</v>
      </c>
      <c r="L270" s="510">
        <v>638715</v>
      </c>
      <c r="M270" s="578"/>
    </row>
    <row r="271" spans="1:13" ht="13">
      <c r="A271" s="65" t="s">
        <v>82</v>
      </c>
      <c r="B271" s="30">
        <v>35929</v>
      </c>
      <c r="C271" s="104">
        <v>45181</v>
      </c>
      <c r="D271" s="42">
        <v>56747</v>
      </c>
      <c r="E271" s="104">
        <v>43827</v>
      </c>
      <c r="F271" s="33">
        <v>96161</v>
      </c>
      <c r="G271" s="108">
        <v>44234</v>
      </c>
      <c r="H271" s="32">
        <v>101317</v>
      </c>
      <c r="I271" s="106">
        <v>70842</v>
      </c>
      <c r="J271" s="30">
        <f>24521+55968</f>
        <v>80489</v>
      </c>
      <c r="K271" s="331">
        <v>68285</v>
      </c>
      <c r="L271" s="510">
        <f>21311+87669</f>
        <v>108980</v>
      </c>
      <c r="M271" s="578"/>
    </row>
    <row r="272" spans="1:13" ht="13">
      <c r="A272" s="65" t="s">
        <v>83</v>
      </c>
      <c r="B272" s="30">
        <v>0</v>
      </c>
      <c r="C272" s="104">
        <v>3813</v>
      </c>
      <c r="D272" s="42">
        <v>3373</v>
      </c>
      <c r="E272" s="104">
        <v>2729</v>
      </c>
      <c r="F272" s="33">
        <v>2839</v>
      </c>
      <c r="G272" s="108">
        <v>2625</v>
      </c>
      <c r="H272" s="32">
        <v>5197</v>
      </c>
      <c r="I272" s="106">
        <v>116931</v>
      </c>
      <c r="J272" s="30">
        <v>144573</v>
      </c>
      <c r="K272" s="331">
        <v>11858</v>
      </c>
      <c r="L272" s="510">
        <v>46945</v>
      </c>
      <c r="M272" s="578"/>
    </row>
    <row r="273" spans="1:13" ht="13">
      <c r="A273" s="64" t="s">
        <v>84</v>
      </c>
      <c r="B273" s="66">
        <f>SUM(B269:B272)</f>
        <v>587264</v>
      </c>
      <c r="C273" s="110">
        <f t="shared" ref="C273:F273" si="192">SUM(C269:C272)</f>
        <v>499447</v>
      </c>
      <c r="D273" s="66">
        <f t="shared" si="192"/>
        <v>424825</v>
      </c>
      <c r="E273" s="110">
        <f t="shared" si="192"/>
        <v>408462</v>
      </c>
      <c r="F273" s="66">
        <f t="shared" si="192"/>
        <v>536729</v>
      </c>
      <c r="G273" s="110">
        <f t="shared" ref="G273:H273" si="193">SUM(G269:G272)</f>
        <v>456063</v>
      </c>
      <c r="H273" s="116">
        <f t="shared" si="193"/>
        <v>750430</v>
      </c>
      <c r="I273" s="117">
        <f>SUM(I269:I272)</f>
        <v>829711</v>
      </c>
      <c r="J273" s="66">
        <f>SUM(J269:J272)</f>
        <v>1027990</v>
      </c>
      <c r="K273" s="335">
        <f>SUM(K269:K272)</f>
        <v>784727</v>
      </c>
      <c r="L273" s="516">
        <f>SUM(L269:L272)</f>
        <v>794640</v>
      </c>
      <c r="M273" s="324">
        <f>SUM(M269:M272)</f>
        <v>0</v>
      </c>
    </row>
    <row r="274" spans="1:13" ht="10.9" customHeight="1">
      <c r="A274" s="148" t="s">
        <v>155</v>
      </c>
      <c r="B274" s="38"/>
      <c r="C274" s="38">
        <f t="shared" ref="C274:G274" si="194">(C273-B273)/B273</f>
        <v>-0.14953581353530951</v>
      </c>
      <c r="D274" s="38">
        <f t="shared" si="194"/>
        <v>-0.14940924662676922</v>
      </c>
      <c r="E274" s="38">
        <f t="shared" si="194"/>
        <v>-3.8517036426763962E-2</v>
      </c>
      <c r="F274" s="38">
        <f t="shared" si="194"/>
        <v>0.31402431560340988</v>
      </c>
      <c r="G274" s="38">
        <f t="shared" si="194"/>
        <v>-0.1502918605106115</v>
      </c>
      <c r="H274" s="38">
        <f t="shared" ref="H274:M274" si="195">(H273-G273)/G273</f>
        <v>0.64545249230917656</v>
      </c>
      <c r="I274" s="38">
        <f t="shared" si="195"/>
        <v>0.10564742880748371</v>
      </c>
      <c r="J274" s="38">
        <f t="shared" si="195"/>
        <v>0.23897357031544719</v>
      </c>
      <c r="K274" s="298">
        <f t="shared" si="195"/>
        <v>-0.23663946147336062</v>
      </c>
      <c r="L274" s="508">
        <f t="shared" si="195"/>
        <v>1.2632418662796106E-2</v>
      </c>
      <c r="M274" s="298">
        <f t="shared" si="195"/>
        <v>-1</v>
      </c>
    </row>
    <row r="275" spans="1:13" ht="13">
      <c r="A275" s="65" t="s">
        <v>85</v>
      </c>
      <c r="B275" s="30">
        <v>0</v>
      </c>
      <c r="C275" s="104">
        <v>0</v>
      </c>
      <c r="D275" s="54">
        <v>0</v>
      </c>
      <c r="E275" s="104">
        <v>0</v>
      </c>
      <c r="F275" s="33">
        <v>0</v>
      </c>
      <c r="G275" s="108">
        <v>0</v>
      </c>
      <c r="H275" s="32">
        <v>0</v>
      </c>
      <c r="I275" s="106">
        <v>0</v>
      </c>
      <c r="J275" s="42">
        <v>0</v>
      </c>
      <c r="K275" s="331">
        <v>0</v>
      </c>
      <c r="L275" s="510">
        <v>0</v>
      </c>
      <c r="M275" s="578"/>
    </row>
    <row r="276" spans="1:13" ht="13">
      <c r="A276" s="65" t="s">
        <v>86</v>
      </c>
      <c r="B276" s="30">
        <v>133177</v>
      </c>
      <c r="C276" s="104">
        <v>141206</v>
      </c>
      <c r="D276" s="54">
        <v>129368</v>
      </c>
      <c r="E276" s="104">
        <v>147556</v>
      </c>
      <c r="F276" s="33">
        <v>181872</v>
      </c>
      <c r="G276" s="108">
        <v>190422</v>
      </c>
      <c r="H276" s="32">
        <v>419464</v>
      </c>
      <c r="I276" s="106">
        <v>458296</v>
      </c>
      <c r="J276" s="30">
        <f>216372+103418</f>
        <v>319790</v>
      </c>
      <c r="K276" s="331">
        <v>421898</v>
      </c>
      <c r="L276" s="510">
        <f>349630+79923</f>
        <v>429553</v>
      </c>
      <c r="M276" s="578"/>
    </row>
    <row r="277" spans="1:13" ht="13">
      <c r="A277" s="64" t="s">
        <v>87</v>
      </c>
      <c r="B277" s="50">
        <f>SUM(B275:B276)</f>
        <v>133177</v>
      </c>
      <c r="C277" s="111">
        <f t="shared" ref="C277:F277" si="196">SUM(C275:C276)</f>
        <v>141206</v>
      </c>
      <c r="D277" s="34">
        <f t="shared" si="196"/>
        <v>129368</v>
      </c>
      <c r="E277" s="111">
        <f t="shared" si="196"/>
        <v>147556</v>
      </c>
      <c r="F277" s="34">
        <f t="shared" si="196"/>
        <v>181872</v>
      </c>
      <c r="G277" s="111">
        <f t="shared" ref="G277:I277" si="197">SUM(G275:G276)</f>
        <v>190422</v>
      </c>
      <c r="H277" s="37">
        <f t="shared" si="197"/>
        <v>419464</v>
      </c>
      <c r="I277" s="107">
        <f t="shared" si="197"/>
        <v>458296</v>
      </c>
      <c r="J277" s="34">
        <f>SUM(J275:J276)</f>
        <v>319790</v>
      </c>
      <c r="K277" s="335">
        <f>K276+K275</f>
        <v>421898</v>
      </c>
      <c r="L277" s="516">
        <f>L276+L275</f>
        <v>429553</v>
      </c>
      <c r="M277" s="324">
        <f>M276+M275</f>
        <v>0</v>
      </c>
    </row>
    <row r="278" spans="1:13" ht="10.9" customHeight="1">
      <c r="A278" s="148" t="s">
        <v>155</v>
      </c>
      <c r="B278" s="38"/>
      <c r="C278" s="38">
        <f t="shared" ref="C278:G278" si="198">(C277-B277)/B277</f>
        <v>6.0288187900313116E-2</v>
      </c>
      <c r="D278" s="38">
        <f t="shared" si="198"/>
        <v>-8.3834964519921243E-2</v>
      </c>
      <c r="E278" s="38">
        <f t="shared" si="198"/>
        <v>0.14059118174509924</v>
      </c>
      <c r="F278" s="38">
        <f t="shared" si="198"/>
        <v>0.23256255252243216</v>
      </c>
      <c r="G278" s="38">
        <f t="shared" si="198"/>
        <v>4.70110847189232E-2</v>
      </c>
      <c r="H278" s="38">
        <f t="shared" ref="H278:J278" si="199">(H277-G277)/G277</f>
        <v>1.2028127002132107</v>
      </c>
      <c r="I278" s="38">
        <f t="shared" si="199"/>
        <v>9.2575286556176459E-2</v>
      </c>
      <c r="J278" s="38">
        <f t="shared" si="199"/>
        <v>-0.30221952624504689</v>
      </c>
      <c r="K278" s="298">
        <f>(K277-J277)/J277</f>
        <v>0.31929703868163484</v>
      </c>
      <c r="L278" s="508">
        <f>(L277-K277)/K277</f>
        <v>1.8144195990500073E-2</v>
      </c>
      <c r="M278" s="298">
        <f>(M277-L277)/L277</f>
        <v>-1</v>
      </c>
    </row>
    <row r="279" spans="1:13" ht="13">
      <c r="A279" s="64" t="s">
        <v>26</v>
      </c>
      <c r="B279" s="50">
        <f>SUM(B277,B273)</f>
        <v>720441</v>
      </c>
      <c r="C279" s="111">
        <f t="shared" ref="C279:F279" si="200">SUM(C277,C273)</f>
        <v>640653</v>
      </c>
      <c r="D279" s="34">
        <f t="shared" si="200"/>
        <v>554193</v>
      </c>
      <c r="E279" s="111">
        <f t="shared" si="200"/>
        <v>556018</v>
      </c>
      <c r="F279" s="34">
        <f t="shared" si="200"/>
        <v>718601</v>
      </c>
      <c r="G279" s="111">
        <f t="shared" ref="G279:I279" si="201">SUM(G277,G273)</f>
        <v>646485</v>
      </c>
      <c r="H279" s="37">
        <f t="shared" si="201"/>
        <v>1169894</v>
      </c>
      <c r="I279" s="107">
        <f t="shared" si="201"/>
        <v>1288007</v>
      </c>
      <c r="J279" s="50">
        <f>J277+J273</f>
        <v>1347780</v>
      </c>
      <c r="K279" s="335">
        <f>K277+K273</f>
        <v>1206625</v>
      </c>
      <c r="L279" s="516">
        <f>L277+L273</f>
        <v>1224193</v>
      </c>
      <c r="M279" s="324">
        <f>M277+M273</f>
        <v>0</v>
      </c>
    </row>
    <row r="280" spans="1:13" ht="13">
      <c r="A280" s="65" t="s">
        <v>60</v>
      </c>
      <c r="B280" s="30">
        <v>7294</v>
      </c>
      <c r="C280" s="104">
        <v>11987</v>
      </c>
      <c r="D280" s="33">
        <v>-1783</v>
      </c>
      <c r="E280" s="104">
        <v>46719</v>
      </c>
      <c r="F280" s="33">
        <v>33100</v>
      </c>
      <c r="G280" s="108">
        <v>34427</v>
      </c>
      <c r="H280" s="32">
        <v>33405</v>
      </c>
      <c r="I280" s="106">
        <v>54374</v>
      </c>
      <c r="J280" s="30">
        <v>170803</v>
      </c>
      <c r="K280" s="339">
        <v>-11727</v>
      </c>
      <c r="L280" s="510">
        <v>58748</v>
      </c>
      <c r="M280" s="578"/>
    </row>
    <row r="281" spans="1:13" ht="13">
      <c r="A281" s="64" t="s">
        <v>88</v>
      </c>
      <c r="B281" s="50">
        <f t="shared" ref="B281:I281" si="202">SUM(B279:B280)</f>
        <v>727735</v>
      </c>
      <c r="C281" s="111">
        <f t="shared" si="202"/>
        <v>652640</v>
      </c>
      <c r="D281" s="34">
        <f t="shared" si="202"/>
        <v>552410</v>
      </c>
      <c r="E281" s="111">
        <f t="shared" si="202"/>
        <v>602737</v>
      </c>
      <c r="F281" s="34">
        <f t="shared" si="202"/>
        <v>751701</v>
      </c>
      <c r="G281" s="111">
        <f t="shared" si="202"/>
        <v>680912</v>
      </c>
      <c r="H281" s="37">
        <f t="shared" si="202"/>
        <v>1203299</v>
      </c>
      <c r="I281" s="107">
        <f t="shared" si="202"/>
        <v>1342381</v>
      </c>
      <c r="J281" s="50">
        <f>J280+J279</f>
        <v>1518583</v>
      </c>
      <c r="K281" s="335">
        <f>K280+K279</f>
        <v>1194898</v>
      </c>
      <c r="L281" s="516">
        <f>L280+L279</f>
        <v>1282941</v>
      </c>
      <c r="M281" s="324">
        <f>M280+M279</f>
        <v>0</v>
      </c>
    </row>
    <row r="282" spans="1:13" ht="10.9" customHeight="1">
      <c r="A282" s="148" t="s">
        <v>155</v>
      </c>
      <c r="B282" s="38"/>
      <c r="C282" s="38">
        <f t="shared" ref="C282:G282" si="203">(C281-B281)/B281</f>
        <v>-0.10319003483410857</v>
      </c>
      <c r="D282" s="38">
        <f t="shared" si="203"/>
        <v>-0.15357624417749449</v>
      </c>
      <c r="E282" s="38">
        <f t="shared" si="203"/>
        <v>9.1104433301352261E-2</v>
      </c>
      <c r="F282" s="38">
        <f t="shared" si="203"/>
        <v>0.24714593595548306</v>
      </c>
      <c r="G282" s="38">
        <f t="shared" si="203"/>
        <v>-9.4171751800250364E-2</v>
      </c>
      <c r="H282" s="38">
        <f t="shared" ref="H282:J282" si="204">(H281-G281)/G281</f>
        <v>0.76718724299175223</v>
      </c>
      <c r="I282" s="38">
        <f t="shared" si="204"/>
        <v>0.11558390724167476</v>
      </c>
      <c r="J282" s="38">
        <f t="shared" si="204"/>
        <v>0.13126079704644211</v>
      </c>
      <c r="K282" s="298">
        <f>(K281-J281)/J281</f>
        <v>-0.21314936358434144</v>
      </c>
      <c r="L282" s="508">
        <f>(L281-K281)/K281</f>
        <v>7.3682439840053293E-2</v>
      </c>
      <c r="M282" s="298">
        <f>(M281-L281)/L281</f>
        <v>-1</v>
      </c>
    </row>
    <row r="283" spans="1:13" ht="13">
      <c r="A283" s="92" t="s">
        <v>89</v>
      </c>
      <c r="B283" s="39"/>
      <c r="C283" s="753"/>
      <c r="D283" s="25"/>
      <c r="E283" s="753"/>
      <c r="F283" s="25"/>
      <c r="G283" s="118"/>
      <c r="H283" s="28"/>
      <c r="I283" s="115"/>
      <c r="J283" s="25"/>
      <c r="K283" s="333"/>
      <c r="L283" s="532"/>
      <c r="M283" s="586"/>
    </row>
    <row r="284" spans="1:13" ht="13">
      <c r="A284" s="65" t="s">
        <v>228</v>
      </c>
      <c r="B284" s="39"/>
      <c r="C284" s="753"/>
      <c r="D284" s="25"/>
      <c r="E284" s="753"/>
      <c r="F284" s="25"/>
      <c r="G284" s="118"/>
      <c r="H284" s="28"/>
      <c r="I284" s="115"/>
      <c r="J284" s="25"/>
      <c r="K284" s="333"/>
      <c r="L284" s="515">
        <v>0</v>
      </c>
      <c r="M284" s="580"/>
    </row>
    <row r="285" spans="1:13" ht="13">
      <c r="A285" s="65" t="s">
        <v>65</v>
      </c>
      <c r="B285" s="30">
        <v>1292950</v>
      </c>
      <c r="C285" s="104">
        <v>1425766</v>
      </c>
      <c r="D285" s="30">
        <v>1897270</v>
      </c>
      <c r="E285" s="104">
        <v>1897212</v>
      </c>
      <c r="F285" s="30">
        <v>1497412</v>
      </c>
      <c r="G285" s="108">
        <v>1724262</v>
      </c>
      <c r="H285" s="32">
        <v>2365693</v>
      </c>
      <c r="I285" s="106">
        <v>2564083</v>
      </c>
      <c r="J285" s="30">
        <v>2654030</v>
      </c>
      <c r="K285" s="331">
        <v>2773027</v>
      </c>
      <c r="L285" s="510">
        <v>4175273</v>
      </c>
      <c r="M285" s="578"/>
    </row>
    <row r="286" spans="1:13" ht="13">
      <c r="A286" s="65" t="s">
        <v>66</v>
      </c>
      <c r="B286" s="30">
        <v>1687510</v>
      </c>
      <c r="C286" s="104">
        <v>1529801</v>
      </c>
      <c r="D286" s="30">
        <v>2447058</v>
      </c>
      <c r="E286" s="104">
        <v>1123944</v>
      </c>
      <c r="F286" s="30">
        <v>1000914</v>
      </c>
      <c r="G286" s="108">
        <v>1683773</v>
      </c>
      <c r="H286" s="32">
        <v>1632929</v>
      </c>
      <c r="I286" s="106">
        <v>1903560</v>
      </c>
      <c r="J286" s="30">
        <v>1834928</v>
      </c>
      <c r="K286" s="331">
        <v>2024414</v>
      </c>
      <c r="L286" s="510">
        <v>1842736</v>
      </c>
      <c r="M286" s="578"/>
    </row>
    <row r="287" spans="1:13" ht="13">
      <c r="A287" s="65" t="s">
        <v>67</v>
      </c>
      <c r="B287" s="30">
        <v>0</v>
      </c>
      <c r="C287" s="104">
        <v>0</v>
      </c>
      <c r="D287" s="30">
        <v>0</v>
      </c>
      <c r="E287" s="104">
        <v>1590050</v>
      </c>
      <c r="F287" s="30">
        <v>1584245</v>
      </c>
      <c r="G287" s="108">
        <v>1159770</v>
      </c>
      <c r="H287" s="32">
        <v>1795073</v>
      </c>
      <c r="I287" s="106">
        <v>3041141</v>
      </c>
      <c r="J287" s="30">
        <v>3182138</v>
      </c>
      <c r="K287" s="331">
        <v>3508002</v>
      </c>
      <c r="L287" s="510">
        <v>3727372</v>
      </c>
      <c r="M287" s="578"/>
    </row>
    <row r="288" spans="1:13" ht="13">
      <c r="A288" s="64" t="s">
        <v>90</v>
      </c>
      <c r="B288" s="34">
        <f>SUM(B285:B287)</f>
        <v>2980460</v>
      </c>
      <c r="C288" s="111">
        <f t="shared" ref="C288:F288" si="205">SUM(C285:C287)</f>
        <v>2955567</v>
      </c>
      <c r="D288" s="34">
        <f t="shared" si="205"/>
        <v>4344328</v>
      </c>
      <c r="E288" s="111">
        <f t="shared" si="205"/>
        <v>4611206</v>
      </c>
      <c r="F288" s="34">
        <f t="shared" si="205"/>
        <v>4082571</v>
      </c>
      <c r="G288" s="107">
        <f t="shared" ref="G288:I288" si="206">SUM(G285:G287)</f>
        <v>4567805</v>
      </c>
      <c r="H288" s="37">
        <f t="shared" si="206"/>
        <v>5793695</v>
      </c>
      <c r="I288" s="107">
        <f t="shared" si="206"/>
        <v>7508784</v>
      </c>
      <c r="J288" s="50">
        <f>SUM(J285:J287)</f>
        <v>7671096</v>
      </c>
      <c r="K288" s="335">
        <f>SUM(K285:K287)</f>
        <v>8305443</v>
      </c>
      <c r="L288" s="516">
        <f>SUM(L284:L287)</f>
        <v>9745381</v>
      </c>
      <c r="M288" s="324">
        <f>SUM(M284:M287)</f>
        <v>0</v>
      </c>
    </row>
    <row r="289" spans="1:14" ht="10.9" customHeight="1">
      <c r="A289" s="148" t="s">
        <v>155</v>
      </c>
      <c r="B289" s="38"/>
      <c r="C289" s="38">
        <f t="shared" ref="C289:G289" si="207">(C288-B288)/B288</f>
        <v>-8.352066459539802E-3</v>
      </c>
      <c r="D289" s="38">
        <f t="shared" si="207"/>
        <v>0.46987972189430993</v>
      </c>
      <c r="E289" s="38">
        <f t="shared" si="207"/>
        <v>6.1431365219200763E-2</v>
      </c>
      <c r="F289" s="38">
        <f t="shared" si="207"/>
        <v>-0.11464137581361579</v>
      </c>
      <c r="G289" s="38">
        <f t="shared" si="207"/>
        <v>0.11885500582843507</v>
      </c>
      <c r="H289" s="38">
        <f t="shared" ref="H289:J289" si="208">(H288-G288)/G288</f>
        <v>0.2683761675465568</v>
      </c>
      <c r="I289" s="38">
        <f t="shared" si="208"/>
        <v>0.29602680154892519</v>
      </c>
      <c r="J289" s="38">
        <f t="shared" si="208"/>
        <v>2.1616283009339463E-2</v>
      </c>
      <c r="K289" s="298">
        <f>(K288-J288)/J288</f>
        <v>8.26931379818477E-2</v>
      </c>
      <c r="L289" s="508">
        <f>(L288-K288)/K288</f>
        <v>0.1733728110589646</v>
      </c>
      <c r="M289" s="298">
        <f>(M288-L288)/L288</f>
        <v>-1</v>
      </c>
    </row>
    <row r="290" spans="1:14" ht="13.15" customHeight="1">
      <c r="A290" s="165" t="s">
        <v>91</v>
      </c>
      <c r="B290" s="167">
        <f t="shared" ref="B290:K290" si="209">SUM(B253+B265+B267-B281)</f>
        <v>2980260</v>
      </c>
      <c r="C290" s="166">
        <f t="shared" si="209"/>
        <v>2953553</v>
      </c>
      <c r="D290" s="167">
        <f t="shared" si="209"/>
        <v>4344328</v>
      </c>
      <c r="E290" s="166">
        <f t="shared" si="209"/>
        <v>4611206</v>
      </c>
      <c r="F290" s="167">
        <f t="shared" si="209"/>
        <v>4081385</v>
      </c>
      <c r="G290" s="167">
        <f t="shared" si="209"/>
        <v>4566710</v>
      </c>
      <c r="H290" s="167">
        <f t="shared" si="209"/>
        <v>5791101</v>
      </c>
      <c r="I290" s="167">
        <f t="shared" si="209"/>
        <v>7508784</v>
      </c>
      <c r="J290" s="167">
        <f t="shared" si="209"/>
        <v>7671098</v>
      </c>
      <c r="K290" s="167">
        <f t="shared" si="209"/>
        <v>8305443</v>
      </c>
      <c r="L290" s="543">
        <f>SUM(L253+L265+L267-L281)</f>
        <v>9745381</v>
      </c>
      <c r="M290" s="590">
        <f>SUM(M253+M265+M267-M281)</f>
        <v>0</v>
      </c>
    </row>
    <row r="291" spans="1:14" s="149" customFormat="1" ht="14.5" customHeight="1">
      <c r="A291" s="155"/>
      <c r="B291" s="156"/>
      <c r="C291" s="156"/>
      <c r="D291" s="156"/>
      <c r="E291" s="156"/>
      <c r="F291" s="747"/>
      <c r="G291" s="155"/>
      <c r="H291" s="157"/>
      <c r="I291" s="157"/>
      <c r="J291" s="158"/>
      <c r="K291" s="320"/>
      <c r="L291" s="535"/>
      <c r="M291" s="320"/>
    </row>
    <row r="292" spans="1:14" ht="13">
      <c r="A292" s="159" t="s">
        <v>100</v>
      </c>
      <c r="B292" s="59" t="s">
        <v>118</v>
      </c>
      <c r="C292" s="59" t="s">
        <v>307</v>
      </c>
      <c r="D292" s="119" t="s">
        <v>316</v>
      </c>
      <c r="E292" s="88" t="s">
        <v>309</v>
      </c>
      <c r="F292" s="60" t="s">
        <v>322</v>
      </c>
      <c r="G292" s="89" t="s">
        <v>123</v>
      </c>
      <c r="H292" s="119" t="s">
        <v>122</v>
      </c>
      <c r="I292" s="88" t="s">
        <v>160</v>
      </c>
      <c r="J292" s="88" t="s">
        <v>159</v>
      </c>
      <c r="K292" s="321" t="s">
        <v>213</v>
      </c>
      <c r="L292" s="536" t="str">
        <f>L2</f>
        <v>CY'2016</v>
      </c>
      <c r="M292" s="587" t="str">
        <f>M2</f>
        <v>CY'2017</v>
      </c>
    </row>
    <row r="293" spans="1:14" ht="10.9" customHeight="1">
      <c r="A293" s="126"/>
      <c r="B293" s="61" t="s">
        <v>141</v>
      </c>
      <c r="C293" s="147" t="s">
        <v>339</v>
      </c>
      <c r="D293" s="61" t="s">
        <v>340</v>
      </c>
      <c r="E293" s="147" t="s">
        <v>341</v>
      </c>
      <c r="F293" s="61" t="s">
        <v>342</v>
      </c>
      <c r="G293" s="147" t="s">
        <v>140</v>
      </c>
      <c r="H293" s="137" t="s">
        <v>139</v>
      </c>
      <c r="I293" s="147" t="s">
        <v>173</v>
      </c>
      <c r="J293" s="61" t="s">
        <v>172</v>
      </c>
      <c r="K293" s="336" t="s">
        <v>218</v>
      </c>
      <c r="L293" s="502" t="s">
        <v>227</v>
      </c>
      <c r="M293" s="322" t="s">
        <v>343</v>
      </c>
    </row>
    <row r="294" spans="1:14" ht="10.9" customHeight="1">
      <c r="A294" s="92" t="s">
        <v>64</v>
      </c>
      <c r="B294" s="120"/>
      <c r="C294" s="754"/>
      <c r="D294" s="739"/>
      <c r="E294" s="754"/>
      <c r="F294" s="748"/>
      <c r="G294" s="103"/>
      <c r="H294" s="160"/>
      <c r="I294" s="357"/>
      <c r="J294" s="25"/>
      <c r="K294" s="337"/>
      <c r="L294" s="514"/>
      <c r="M294" s="579"/>
    </row>
    <row r="295" spans="1:14" ht="10.9" customHeight="1">
      <c r="A295" s="65" t="s">
        <v>228</v>
      </c>
      <c r="B295" s="120"/>
      <c r="C295" s="754"/>
      <c r="D295" s="739"/>
      <c r="E295" s="754"/>
      <c r="F295" s="748"/>
      <c r="G295" s="103"/>
      <c r="H295" s="160"/>
      <c r="I295" s="357"/>
      <c r="J295" s="25"/>
      <c r="K295" s="337"/>
      <c r="L295" s="515">
        <v>0</v>
      </c>
      <c r="M295" s="580"/>
    </row>
    <row r="296" spans="1:14" ht="13">
      <c r="A296" s="65" t="s">
        <v>65</v>
      </c>
      <c r="B296" s="33">
        <v>1375747</v>
      </c>
      <c r="C296" s="106">
        <v>1292950</v>
      </c>
      <c r="D296" s="33">
        <v>1425766</v>
      </c>
      <c r="E296" s="106">
        <v>1897270</v>
      </c>
      <c r="F296" s="30">
        <v>1897212</v>
      </c>
      <c r="G296" s="105">
        <v>1497412</v>
      </c>
      <c r="H296" s="93">
        <v>1724262</v>
      </c>
      <c r="I296" s="106">
        <v>2365693</v>
      </c>
      <c r="J296" s="359">
        <v>2564083</v>
      </c>
      <c r="K296" s="338">
        <v>2654030</v>
      </c>
      <c r="L296" s="522">
        <v>2773027</v>
      </c>
      <c r="M296" s="306"/>
      <c r="N296" s="444"/>
    </row>
    <row r="297" spans="1:14" ht="13">
      <c r="A297" s="65" t="s">
        <v>66</v>
      </c>
      <c r="B297" s="33">
        <v>1614077</v>
      </c>
      <c r="C297" s="106">
        <v>1687510</v>
      </c>
      <c r="D297" s="33">
        <v>1529801</v>
      </c>
      <c r="E297" s="106">
        <v>2447058</v>
      </c>
      <c r="F297" s="30">
        <v>1123944</v>
      </c>
      <c r="G297" s="105">
        <v>1000914</v>
      </c>
      <c r="H297" s="93">
        <v>1683773</v>
      </c>
      <c r="I297" s="106">
        <v>1632929</v>
      </c>
      <c r="J297" s="359">
        <v>1903560</v>
      </c>
      <c r="K297" s="338">
        <v>1834928</v>
      </c>
      <c r="L297" s="522">
        <v>2024414</v>
      </c>
      <c r="M297" s="306"/>
      <c r="N297" s="444"/>
    </row>
    <row r="298" spans="1:14" ht="13">
      <c r="A298" s="65" t="s">
        <v>67</v>
      </c>
      <c r="B298" s="33">
        <v>0</v>
      </c>
      <c r="C298" s="106">
        <v>0</v>
      </c>
      <c r="D298" s="33">
        <v>0</v>
      </c>
      <c r="E298" s="106">
        <v>0</v>
      </c>
      <c r="F298" s="30">
        <v>1590050</v>
      </c>
      <c r="G298" s="105">
        <v>1584245</v>
      </c>
      <c r="H298" s="93">
        <v>1159770</v>
      </c>
      <c r="I298" s="106">
        <v>1795073</v>
      </c>
      <c r="J298" s="359">
        <v>3041141</v>
      </c>
      <c r="K298" s="338">
        <v>3182138</v>
      </c>
      <c r="L298" s="522">
        <v>3508002</v>
      </c>
      <c r="M298" s="306"/>
      <c r="N298" s="444"/>
    </row>
    <row r="299" spans="1:14" ht="13">
      <c r="A299" s="65" t="s">
        <v>68</v>
      </c>
      <c r="B299" s="33">
        <f>SUM(B296:B298)</f>
        <v>2989824</v>
      </c>
      <c r="C299" s="106">
        <f t="shared" ref="C299:F299" si="210">SUM(C296:C298)</f>
        <v>2980460</v>
      </c>
      <c r="D299" s="33">
        <f t="shared" si="210"/>
        <v>2955567</v>
      </c>
      <c r="E299" s="106">
        <f t="shared" si="210"/>
        <v>4344328</v>
      </c>
      <c r="F299" s="33">
        <f t="shared" si="210"/>
        <v>4611206</v>
      </c>
      <c r="G299" s="106">
        <f t="shared" ref="G299:K299" si="211">SUM(G296:G298)</f>
        <v>4082571</v>
      </c>
      <c r="H299" s="352">
        <f t="shared" si="211"/>
        <v>4567805</v>
      </c>
      <c r="I299" s="106">
        <f t="shared" si="211"/>
        <v>5793695</v>
      </c>
      <c r="J299" s="360">
        <f t="shared" si="211"/>
        <v>7508784</v>
      </c>
      <c r="K299" s="335">
        <f t="shared" si="211"/>
        <v>7671096</v>
      </c>
      <c r="L299" s="516">
        <f>SUM(L295:L298)</f>
        <v>8305443</v>
      </c>
      <c r="M299" s="324">
        <f>SUM(M295:M298)</f>
        <v>0</v>
      </c>
      <c r="N299" s="444"/>
    </row>
    <row r="300" spans="1:14" ht="13">
      <c r="A300" s="65" t="s">
        <v>69</v>
      </c>
      <c r="B300" s="33">
        <v>46736</v>
      </c>
      <c r="C300" s="106">
        <v>189448</v>
      </c>
      <c r="D300" s="33">
        <v>64735</v>
      </c>
      <c r="E300" s="106">
        <v>101423</v>
      </c>
      <c r="F300" s="30">
        <v>51107</v>
      </c>
      <c r="G300" s="105">
        <v>47545</v>
      </c>
      <c r="H300" s="361">
        <v>48491</v>
      </c>
      <c r="I300" s="106">
        <v>46699</v>
      </c>
      <c r="J300" s="359">
        <f>-10786-18844</f>
        <v>-29630</v>
      </c>
      <c r="K300" s="338">
        <v>251569</v>
      </c>
      <c r="L300" s="522">
        <v>-14375</v>
      </c>
      <c r="M300" s="306"/>
      <c r="N300" s="444"/>
    </row>
    <row r="301" spans="1:14" ht="13">
      <c r="A301" s="64" t="s">
        <v>70</v>
      </c>
      <c r="B301" s="34">
        <f>SUM(B299:B300)</f>
        <v>3036560</v>
      </c>
      <c r="C301" s="107">
        <f t="shared" ref="C301:F301" si="212">SUM(C299:C300)</f>
        <v>3169908</v>
      </c>
      <c r="D301" s="34">
        <f t="shared" si="212"/>
        <v>3020302</v>
      </c>
      <c r="E301" s="107">
        <f t="shared" si="212"/>
        <v>4445751</v>
      </c>
      <c r="F301" s="34">
        <f t="shared" si="212"/>
        <v>4662313</v>
      </c>
      <c r="G301" s="107">
        <f t="shared" ref="G301:K301" si="213">SUM(G299:G300)</f>
        <v>4130116</v>
      </c>
      <c r="H301" s="95">
        <f t="shared" si="213"/>
        <v>4616296</v>
      </c>
      <c r="I301" s="107">
        <f t="shared" si="213"/>
        <v>5840394</v>
      </c>
      <c r="J301" s="34">
        <f t="shared" si="213"/>
        <v>7479154</v>
      </c>
      <c r="K301" s="335">
        <f t="shared" si="213"/>
        <v>7922665</v>
      </c>
      <c r="L301" s="516">
        <f t="shared" ref="L301:M301" si="214">SUM(L299:L300)</f>
        <v>8291068</v>
      </c>
      <c r="M301" s="324">
        <f t="shared" si="214"/>
        <v>0</v>
      </c>
      <c r="N301" s="444"/>
    </row>
    <row r="302" spans="1:14" ht="10.9" customHeight="1">
      <c r="A302" s="148" t="s">
        <v>155</v>
      </c>
      <c r="B302" s="38"/>
      <c r="C302" s="38">
        <f t="shared" ref="C302:G302" si="215">(C301-B301)/B301</f>
        <v>4.3914166029981293E-2</v>
      </c>
      <c r="D302" s="38">
        <f t="shared" si="215"/>
        <v>-4.71956914837907E-2</v>
      </c>
      <c r="E302" s="38">
        <f t="shared" si="215"/>
        <v>0.47195578455399495</v>
      </c>
      <c r="F302" s="38">
        <f t="shared" si="215"/>
        <v>4.8712129851626866E-2</v>
      </c>
      <c r="G302" s="38">
        <f t="shared" si="215"/>
        <v>-0.11414870687575029</v>
      </c>
      <c r="H302" s="38">
        <f t="shared" ref="H302:J302" si="216">(H301-G301)/G301</f>
        <v>0.11771582202533779</v>
      </c>
      <c r="I302" s="38">
        <f t="shared" si="216"/>
        <v>0.26516887132020994</v>
      </c>
      <c r="J302" s="38">
        <f t="shared" si="216"/>
        <v>0.28059065878089734</v>
      </c>
      <c r="K302" s="298">
        <f>(K301-J301)/J301</f>
        <v>5.9299621320807142E-2</v>
      </c>
      <c r="L302" s="508">
        <f>(L301-K301)/K301</f>
        <v>4.6499883561907512E-2</v>
      </c>
      <c r="M302" s="298">
        <f>(M301-L301)/L301</f>
        <v>-1</v>
      </c>
      <c r="N302" s="444"/>
    </row>
    <row r="303" spans="1:14" ht="13">
      <c r="A303" s="92" t="s">
        <v>71</v>
      </c>
      <c r="B303" s="90"/>
      <c r="C303" s="754"/>
      <c r="D303" s="91"/>
      <c r="E303" s="754"/>
      <c r="F303" s="749"/>
      <c r="G303" s="103"/>
      <c r="H303" s="160"/>
      <c r="I303" s="115"/>
      <c r="J303" s="25"/>
      <c r="K303" s="337"/>
      <c r="L303" s="514"/>
      <c r="M303" s="579"/>
      <c r="N303" s="444"/>
    </row>
    <row r="304" spans="1:14" ht="13">
      <c r="A304" s="65" t="s">
        <v>72</v>
      </c>
      <c r="B304" s="33">
        <v>1879610</v>
      </c>
      <c r="C304" s="106">
        <v>1521894</v>
      </c>
      <c r="D304" s="33">
        <v>2374353</v>
      </c>
      <c r="E304" s="106">
        <v>1817060</v>
      </c>
      <c r="F304" s="30">
        <v>1892382</v>
      </c>
      <c r="G304" s="106">
        <v>2358481</v>
      </c>
      <c r="H304" s="93">
        <v>2157436</v>
      </c>
      <c r="I304" s="106">
        <v>1866242</v>
      </c>
      <c r="J304" s="362">
        <v>1894483</v>
      </c>
      <c r="K304" s="338">
        <v>2190416</v>
      </c>
      <c r="L304" s="522">
        <v>2102566</v>
      </c>
      <c r="M304" s="306"/>
      <c r="N304" s="444"/>
    </row>
    <row r="305" spans="1:14" ht="13">
      <c r="A305" s="65" t="s">
        <v>73</v>
      </c>
      <c r="B305" s="33">
        <v>465741</v>
      </c>
      <c r="C305" s="106">
        <v>521905</v>
      </c>
      <c r="D305" s="33">
        <v>508247</v>
      </c>
      <c r="E305" s="106">
        <v>544959</v>
      </c>
      <c r="F305" s="30">
        <v>548889</v>
      </c>
      <c r="G305" s="106">
        <v>494979</v>
      </c>
      <c r="H305" s="93">
        <v>536014</v>
      </c>
      <c r="I305" s="106">
        <v>508805</v>
      </c>
      <c r="J305" s="362">
        <v>570842</v>
      </c>
      <c r="K305" s="338">
        <v>438289</v>
      </c>
      <c r="L305" s="522">
        <v>575192</v>
      </c>
      <c r="M305" s="306"/>
      <c r="N305" s="444"/>
    </row>
    <row r="306" spans="1:14" ht="13">
      <c r="A306" s="65" t="s">
        <v>74</v>
      </c>
      <c r="B306" s="33">
        <v>465745</v>
      </c>
      <c r="C306" s="106">
        <v>491505</v>
      </c>
      <c r="D306" s="33">
        <v>399348</v>
      </c>
      <c r="E306" s="106">
        <v>429645</v>
      </c>
      <c r="F306" s="30">
        <v>286830</v>
      </c>
      <c r="G306" s="106">
        <v>360533</v>
      </c>
      <c r="H306" s="93">
        <v>403639</v>
      </c>
      <c r="I306" s="106">
        <v>425491</v>
      </c>
      <c r="J306" s="362">
        <v>492649</v>
      </c>
      <c r="K306" s="338">
        <v>546949</v>
      </c>
      <c r="L306" s="522">
        <v>379458</v>
      </c>
      <c r="M306" s="306"/>
      <c r="N306" s="444"/>
    </row>
    <row r="307" spans="1:14" ht="13">
      <c r="A307" s="65" t="s">
        <v>75</v>
      </c>
      <c r="B307" s="33">
        <v>121368</v>
      </c>
      <c r="C307" s="106">
        <v>188094</v>
      </c>
      <c r="D307" s="33">
        <v>108205</v>
      </c>
      <c r="E307" s="106">
        <v>180094</v>
      </c>
      <c r="F307" s="30">
        <v>118367</v>
      </c>
      <c r="G307" s="106">
        <v>123072</v>
      </c>
      <c r="H307" s="93">
        <v>136653</v>
      </c>
      <c r="I307" s="106">
        <v>147891</v>
      </c>
      <c r="J307" s="362">
        <v>149883</v>
      </c>
      <c r="K307" s="338">
        <v>196085</v>
      </c>
      <c r="L307" s="522">
        <v>159475</v>
      </c>
      <c r="M307" s="306"/>
      <c r="N307" s="444"/>
    </row>
    <row r="308" spans="1:14" ht="13">
      <c r="A308" s="65" t="s">
        <v>76</v>
      </c>
      <c r="B308" s="33">
        <v>3847157</v>
      </c>
      <c r="C308" s="106">
        <v>3823669</v>
      </c>
      <c r="D308" s="33">
        <v>4463818</v>
      </c>
      <c r="E308" s="106">
        <v>3955284</v>
      </c>
      <c r="F308" s="30">
        <v>3950192</v>
      </c>
      <c r="G308" s="106">
        <v>4416223</v>
      </c>
      <c r="H308" s="93">
        <v>4702938</v>
      </c>
      <c r="I308" s="106">
        <v>5861014</v>
      </c>
      <c r="J308" s="362">
        <v>4923580</v>
      </c>
      <c r="K308" s="338">
        <v>4676855</v>
      </c>
      <c r="L308" s="522">
        <v>6033837</v>
      </c>
      <c r="M308" s="306"/>
      <c r="N308" s="444"/>
    </row>
    <row r="309" spans="1:14" ht="13">
      <c r="A309" s="65" t="s">
        <v>77</v>
      </c>
      <c r="B309" s="33">
        <v>652</v>
      </c>
      <c r="C309" s="106">
        <v>580</v>
      </c>
      <c r="D309" s="33">
        <v>6282</v>
      </c>
      <c r="E309" s="106">
        <v>7599</v>
      </c>
      <c r="F309" s="30">
        <v>900</v>
      </c>
      <c r="G309" s="106">
        <v>1304</v>
      </c>
      <c r="H309" s="93">
        <v>569</v>
      </c>
      <c r="I309" s="106">
        <v>9169</v>
      </c>
      <c r="J309" s="362">
        <v>27308</v>
      </c>
      <c r="K309" s="338">
        <v>131</v>
      </c>
      <c r="L309" s="522">
        <v>217</v>
      </c>
      <c r="M309" s="306"/>
      <c r="N309" s="444"/>
    </row>
    <row r="310" spans="1:14" ht="13">
      <c r="A310" s="67" t="s">
        <v>78</v>
      </c>
      <c r="B310" s="33">
        <f>SUM(B304:B309)</f>
        <v>6780273</v>
      </c>
      <c r="C310" s="106">
        <f t="shared" ref="C310:F310" si="217">SUM(C304:C309)</f>
        <v>6547647</v>
      </c>
      <c r="D310" s="33">
        <f t="shared" si="217"/>
        <v>7860253</v>
      </c>
      <c r="E310" s="106">
        <f t="shared" si="217"/>
        <v>6934641</v>
      </c>
      <c r="F310" s="33">
        <f t="shared" si="217"/>
        <v>6797560</v>
      </c>
      <c r="G310" s="106">
        <f t="shared" ref="G310:J310" si="218">SUM(G304:G309)</f>
        <v>7754592</v>
      </c>
      <c r="H310" s="33">
        <f t="shared" si="218"/>
        <v>7937249</v>
      </c>
      <c r="I310" s="106">
        <f t="shared" si="218"/>
        <v>8818612</v>
      </c>
      <c r="J310" s="33">
        <f t="shared" si="218"/>
        <v>8058745</v>
      </c>
      <c r="K310" s="339">
        <f>SUM(K304:K309)</f>
        <v>8048725</v>
      </c>
      <c r="L310" s="523">
        <f>SUM(L304:L309)</f>
        <v>9250745</v>
      </c>
      <c r="M310" s="307">
        <f>SUM(M304:M309)</f>
        <v>0</v>
      </c>
      <c r="N310" s="444"/>
    </row>
    <row r="311" spans="1:14" customFormat="1" ht="10.9" customHeight="1">
      <c r="A311" s="148" t="s">
        <v>155</v>
      </c>
      <c r="B311" s="38"/>
      <c r="C311" s="38">
        <f t="shared" ref="C311:G311" si="219">(C310-B310)/B310</f>
        <v>-3.4309237990859658E-2</v>
      </c>
      <c r="D311" s="38">
        <f t="shared" si="219"/>
        <v>0.20046987872131775</v>
      </c>
      <c r="E311" s="38">
        <f t="shared" si="219"/>
        <v>-0.11775855051993873</v>
      </c>
      <c r="F311" s="38">
        <f t="shared" si="219"/>
        <v>-1.9767569799215273E-2</v>
      </c>
      <c r="G311" s="38">
        <f t="shared" si="219"/>
        <v>0.14079051895091768</v>
      </c>
      <c r="H311" s="38">
        <f t="shared" ref="H311:J311" si="220">(H310-G310)/G310</f>
        <v>2.3554688628363685E-2</v>
      </c>
      <c r="I311" s="38">
        <f>(I310-H310)/H310</f>
        <v>0.11104136962315281</v>
      </c>
      <c r="J311" s="38">
        <f t="shared" si="220"/>
        <v>-8.6166281042867068E-2</v>
      </c>
      <c r="K311" s="298">
        <f>(K310-J310)/J310</f>
        <v>-1.2433697802821655E-3</v>
      </c>
      <c r="L311" s="508">
        <f>(L310-K310)/K310</f>
        <v>0.14934290834883787</v>
      </c>
      <c r="M311" s="298">
        <f>(M310-L310)/L310</f>
        <v>-1</v>
      </c>
      <c r="N311" s="444"/>
    </row>
    <row r="312" spans="1:14" ht="13">
      <c r="A312" s="65" t="s">
        <v>79</v>
      </c>
      <c r="B312" s="33">
        <v>1108930</v>
      </c>
      <c r="C312" s="106">
        <v>1002801</v>
      </c>
      <c r="D312" s="33">
        <v>936594</v>
      </c>
      <c r="E312" s="106">
        <v>1117555</v>
      </c>
      <c r="F312" s="30">
        <v>898779</v>
      </c>
      <c r="G312" s="105">
        <v>1031729</v>
      </c>
      <c r="H312" s="121">
        <v>1497547</v>
      </c>
      <c r="I312" s="106">
        <v>1547487</v>
      </c>
      <c r="J312" s="363">
        <v>1847523</v>
      </c>
      <c r="K312" s="338">
        <v>1822536</v>
      </c>
      <c r="L312" s="522">
        <f>86119+1972466+61609</f>
        <v>2120194</v>
      </c>
      <c r="M312" s="306"/>
      <c r="N312" s="444"/>
    </row>
    <row r="313" spans="1:14" ht="13">
      <c r="A313" s="64" t="s">
        <v>80</v>
      </c>
      <c r="B313" s="34">
        <f t="shared" ref="B313:J313" si="221">SUM(B310:B312)</f>
        <v>7889203</v>
      </c>
      <c r="C313" s="107">
        <f t="shared" si="221"/>
        <v>7550447.9656907618</v>
      </c>
      <c r="D313" s="34">
        <f t="shared" si="221"/>
        <v>8796847.2004698776</v>
      </c>
      <c r="E313" s="107">
        <f t="shared" si="221"/>
        <v>8052195.8822414493</v>
      </c>
      <c r="F313" s="34">
        <f t="shared" si="221"/>
        <v>7696338.9802324306</v>
      </c>
      <c r="G313" s="107">
        <f t="shared" si="221"/>
        <v>8786321.1407905184</v>
      </c>
      <c r="H313" s="122">
        <f t="shared" si="221"/>
        <v>9434796.0235546883</v>
      </c>
      <c r="I313" s="107">
        <f t="shared" si="221"/>
        <v>10366099.111041369</v>
      </c>
      <c r="J313" s="34">
        <f t="shared" si="221"/>
        <v>9906267.9138337187</v>
      </c>
      <c r="K313" s="335">
        <f>SUM(K310+K312)</f>
        <v>9871261</v>
      </c>
      <c r="L313" s="516">
        <f>SUM(L310+L312)</f>
        <v>11370939</v>
      </c>
      <c r="M313" s="324">
        <f>SUM(M310+M312)</f>
        <v>0</v>
      </c>
      <c r="N313" s="444"/>
    </row>
    <row r="314" spans="1:14" ht="10.9" customHeight="1">
      <c r="A314" s="148" t="s">
        <v>155</v>
      </c>
      <c r="B314" s="38"/>
      <c r="C314" s="38">
        <f t="shared" ref="C314:G314" si="222">(C313-B313)/B313</f>
        <v>-4.2939069296256946E-2</v>
      </c>
      <c r="D314" s="38">
        <f t="shared" si="222"/>
        <v>0.16507619686179606</v>
      </c>
      <c r="E314" s="38">
        <f t="shared" si="222"/>
        <v>-8.4649795689147947E-2</v>
      </c>
      <c r="F314" s="38">
        <f t="shared" si="222"/>
        <v>-4.419377114183673E-2</v>
      </c>
      <c r="G314" s="38">
        <f t="shared" si="222"/>
        <v>0.14162346062948103</v>
      </c>
      <c r="H314" s="38">
        <f t="shared" ref="H314:J314" si="223">(H313-G313)/G313</f>
        <v>7.3805051326160123E-2</v>
      </c>
      <c r="I314" s="38">
        <f>(I313-H313)/H313</f>
        <v>9.8709403484888422E-2</v>
      </c>
      <c r="J314" s="38">
        <f t="shared" si="223"/>
        <v>-4.4359135705915119E-2</v>
      </c>
      <c r="K314" s="298">
        <f>(K313-J313)/J313</f>
        <v>-3.5338145644973878E-3</v>
      </c>
      <c r="L314" s="508">
        <f>(L313-K313)/K313</f>
        <v>0.15192364987614043</v>
      </c>
      <c r="M314" s="298">
        <f>(M313-L313)/L313</f>
        <v>-1</v>
      </c>
      <c r="N314" s="444"/>
    </row>
    <row r="315" spans="1:14" ht="13">
      <c r="A315" s="65" t="s">
        <v>58</v>
      </c>
      <c r="B315" s="33">
        <v>-86023</v>
      </c>
      <c r="C315" s="106">
        <v>-61613</v>
      </c>
      <c r="D315" s="33">
        <v>127765</v>
      </c>
      <c r="E315" s="106">
        <v>43553</v>
      </c>
      <c r="F315" s="30">
        <v>283660</v>
      </c>
      <c r="G315" s="105">
        <v>6859</v>
      </c>
      <c r="H315" s="371">
        <v>-5794</v>
      </c>
      <c r="I315" s="106">
        <v>92883</v>
      </c>
      <c r="J315" s="255">
        <v>48006</v>
      </c>
      <c r="K315" s="338">
        <v>-28070</v>
      </c>
      <c r="L315" s="522">
        <v>-113707</v>
      </c>
      <c r="M315" s="306"/>
      <c r="N315" s="444"/>
    </row>
    <row r="316" spans="1:14" ht="12" customHeight="1">
      <c r="A316" s="92" t="s">
        <v>81</v>
      </c>
      <c r="B316" s="90"/>
      <c r="C316" s="755"/>
      <c r="D316" s="91"/>
      <c r="E316" s="755"/>
      <c r="F316" s="749"/>
      <c r="G316" s="364"/>
      <c r="H316" s="76"/>
      <c r="I316" s="115"/>
      <c r="J316" s="25"/>
      <c r="K316" s="338"/>
      <c r="L316" s="522"/>
      <c r="M316" s="306"/>
      <c r="N316" s="444"/>
    </row>
    <row r="317" spans="1:14" ht="13">
      <c r="A317" s="65" t="s">
        <v>93</v>
      </c>
      <c r="B317" s="33">
        <v>259746</v>
      </c>
      <c r="C317" s="106">
        <v>291587</v>
      </c>
      <c r="D317" s="33">
        <v>252694</v>
      </c>
      <c r="E317" s="106">
        <v>241219</v>
      </c>
      <c r="F317" s="30">
        <v>257012</v>
      </c>
      <c r="G317" s="105">
        <v>258980</v>
      </c>
      <c r="H317" s="93">
        <v>265364</v>
      </c>
      <c r="I317" s="106">
        <v>270383</v>
      </c>
      <c r="J317" s="255">
        <v>258767</v>
      </c>
      <c r="K317" s="338">
        <v>270229</v>
      </c>
      <c r="L317" s="522">
        <v>288697</v>
      </c>
      <c r="M317" s="306"/>
      <c r="N317" s="444"/>
    </row>
    <row r="318" spans="1:14" ht="13">
      <c r="A318" s="65" t="s">
        <v>178</v>
      </c>
      <c r="B318" s="33">
        <v>4908279</v>
      </c>
      <c r="C318" s="106">
        <v>5172241</v>
      </c>
      <c r="D318" s="33">
        <v>4701831</v>
      </c>
      <c r="E318" s="106">
        <v>4671458</v>
      </c>
      <c r="F318" s="30">
        <v>4714664</v>
      </c>
      <c r="G318" s="105">
        <v>4571098</v>
      </c>
      <c r="H318" s="93">
        <v>4355999</v>
      </c>
      <c r="I318" s="106">
        <v>4584764</v>
      </c>
      <c r="J318" s="255">
        <v>4835007</v>
      </c>
      <c r="K318" s="338">
        <v>5019799</v>
      </c>
      <c r="L318" s="522">
        <v>4939025</v>
      </c>
      <c r="M318" s="306"/>
      <c r="N318" s="444"/>
    </row>
    <row r="319" spans="1:14" ht="13">
      <c r="A319" s="65" t="s">
        <v>82</v>
      </c>
      <c r="B319" s="33">
        <v>954046</v>
      </c>
      <c r="C319" s="106">
        <v>653828</v>
      </c>
      <c r="D319" s="33">
        <v>579578</v>
      </c>
      <c r="E319" s="106">
        <v>821696</v>
      </c>
      <c r="F319" s="30">
        <v>959955</v>
      </c>
      <c r="G319" s="105">
        <v>704182</v>
      </c>
      <c r="H319" s="93">
        <v>830135</v>
      </c>
      <c r="I319" s="106">
        <v>713418</v>
      </c>
      <c r="J319" s="255">
        <v>896957</v>
      </c>
      <c r="K319" s="338">
        <v>751875</v>
      </c>
      <c r="L319" s="522">
        <f>273301+612298</f>
        <v>885599</v>
      </c>
      <c r="M319" s="306"/>
      <c r="N319" s="444"/>
    </row>
    <row r="320" spans="1:14" ht="13">
      <c r="A320" s="65" t="s">
        <v>83</v>
      </c>
      <c r="B320" s="33">
        <v>46138</v>
      </c>
      <c r="C320" s="106">
        <v>50015</v>
      </c>
      <c r="D320" s="33">
        <v>46594</v>
      </c>
      <c r="E320" s="106">
        <v>43387</v>
      </c>
      <c r="F320" s="30">
        <v>42391</v>
      </c>
      <c r="G320" s="105">
        <v>40034</v>
      </c>
      <c r="H320" s="93">
        <v>51270</v>
      </c>
      <c r="I320" s="106">
        <v>257528</v>
      </c>
      <c r="J320" s="255">
        <v>432967</v>
      </c>
      <c r="K320" s="340">
        <v>431573</v>
      </c>
      <c r="L320" s="488">
        <v>428481</v>
      </c>
      <c r="M320" s="575">
        <f>M223+L272</f>
        <v>123526</v>
      </c>
      <c r="N320" s="444"/>
    </row>
    <row r="321" spans="1:14" ht="13">
      <c r="A321" s="64" t="s">
        <v>84</v>
      </c>
      <c r="B321" s="66">
        <f>SUM(B317:B320)</f>
        <v>6168209</v>
      </c>
      <c r="C321" s="117">
        <f t="shared" ref="C321:F321" si="224">SUM(C317:C320)</f>
        <v>6167671</v>
      </c>
      <c r="D321" s="66">
        <f t="shared" si="224"/>
        <v>5580697</v>
      </c>
      <c r="E321" s="117">
        <f t="shared" si="224"/>
        <v>5777760</v>
      </c>
      <c r="F321" s="66">
        <f t="shared" si="224"/>
        <v>5974022</v>
      </c>
      <c r="G321" s="117">
        <f t="shared" ref="G321:K321" si="225">SUM(G317:G320)</f>
        <v>5574294</v>
      </c>
      <c r="H321" s="123">
        <f t="shared" si="225"/>
        <v>5502768</v>
      </c>
      <c r="I321" s="117">
        <f t="shared" si="225"/>
        <v>5826093</v>
      </c>
      <c r="J321" s="66">
        <f t="shared" si="225"/>
        <v>6423698</v>
      </c>
      <c r="K321" s="341">
        <f t="shared" si="225"/>
        <v>6473476</v>
      </c>
      <c r="L321" s="544">
        <f t="shared" ref="L321:M321" si="226">SUM(L317:L320)</f>
        <v>6541802</v>
      </c>
      <c r="M321" s="591">
        <f t="shared" si="226"/>
        <v>123526</v>
      </c>
      <c r="N321" s="444"/>
    </row>
    <row r="322" spans="1:14" ht="12" customHeight="1">
      <c r="A322" s="148" t="s">
        <v>155</v>
      </c>
      <c r="B322" s="38"/>
      <c r="C322" s="38">
        <f t="shared" ref="C322:G322" si="227">(C321-B321)/B321</f>
        <v>-8.7221428456785429E-5</v>
      </c>
      <c r="D322" s="38">
        <f t="shared" si="227"/>
        <v>-9.5169473209579428E-2</v>
      </c>
      <c r="E322" s="38">
        <f t="shared" si="227"/>
        <v>3.5311539042524619E-2</v>
      </c>
      <c r="F322" s="38">
        <f t="shared" si="227"/>
        <v>3.3968527595469526E-2</v>
      </c>
      <c r="G322" s="38">
        <f t="shared" si="227"/>
        <v>-6.6911035814732525E-2</v>
      </c>
      <c r="H322" s="38">
        <f t="shared" ref="H322:J322" si="228">(H321-G321)/G321</f>
        <v>-1.2831400711910782E-2</v>
      </c>
      <c r="I322" s="38">
        <f t="shared" si="228"/>
        <v>5.875679294493244E-2</v>
      </c>
      <c r="J322" s="38">
        <f t="shared" si="228"/>
        <v>0.10257388613604349</v>
      </c>
      <c r="K322" s="298">
        <f>(K321-J321)/J321</f>
        <v>7.7491189654308153E-3</v>
      </c>
      <c r="L322" s="508">
        <f>(L321-K321)/K321</f>
        <v>1.0554762232840595E-2</v>
      </c>
      <c r="M322" s="298">
        <f>(M321-L321)/L321</f>
        <v>-0.98111743522656292</v>
      </c>
      <c r="N322" s="444"/>
    </row>
    <row r="323" spans="1:14" ht="13">
      <c r="A323" s="65" t="s">
        <v>85</v>
      </c>
      <c r="B323" s="33">
        <v>75240</v>
      </c>
      <c r="C323" s="106">
        <v>54899</v>
      </c>
      <c r="D323" s="33">
        <v>48313</v>
      </c>
      <c r="E323" s="106">
        <v>50667</v>
      </c>
      <c r="F323" s="30">
        <v>48267</v>
      </c>
      <c r="G323" s="105">
        <v>58847</v>
      </c>
      <c r="H323" s="93">
        <v>56275</v>
      </c>
      <c r="I323" s="106">
        <v>53581</v>
      </c>
      <c r="J323" s="255">
        <v>55952</v>
      </c>
      <c r="K323" s="338">
        <v>47906</v>
      </c>
      <c r="L323" s="522">
        <v>43821</v>
      </c>
      <c r="M323" s="306"/>
      <c r="N323" s="444"/>
    </row>
    <row r="324" spans="1:14" ht="13">
      <c r="A324" s="65" t="s">
        <v>86</v>
      </c>
      <c r="B324" s="33">
        <v>1485823</v>
      </c>
      <c r="C324" s="106">
        <v>1519065</v>
      </c>
      <c r="D324" s="33">
        <v>1789979</v>
      </c>
      <c r="E324" s="106">
        <v>1804143</v>
      </c>
      <c r="F324" s="33">
        <v>2200630</v>
      </c>
      <c r="G324" s="105">
        <v>2201956</v>
      </c>
      <c r="H324" s="93">
        <v>2270311</v>
      </c>
      <c r="I324" s="106">
        <v>2660768</v>
      </c>
      <c r="J324" s="255">
        <v>2670887</v>
      </c>
      <c r="K324" s="338">
        <v>2969205</v>
      </c>
      <c r="L324" s="522">
        <f>2310063+651237</f>
        <v>2961300</v>
      </c>
      <c r="M324" s="306"/>
      <c r="N324" s="444"/>
    </row>
    <row r="325" spans="1:14" ht="13">
      <c r="A325" s="64" t="s">
        <v>87</v>
      </c>
      <c r="B325" s="34">
        <f>SUM(B323:B324)</f>
        <v>1561063</v>
      </c>
      <c r="C325" s="107">
        <f t="shared" ref="C325:F325" si="229">SUM(C323:C324)</f>
        <v>1573964</v>
      </c>
      <c r="D325" s="34">
        <f t="shared" si="229"/>
        <v>1838292</v>
      </c>
      <c r="E325" s="107">
        <f t="shared" si="229"/>
        <v>1854810</v>
      </c>
      <c r="F325" s="34">
        <f t="shared" si="229"/>
        <v>2248897</v>
      </c>
      <c r="G325" s="107">
        <f t="shared" ref="G325:K325" si="230">SUM(G323:G324)</f>
        <v>2260803</v>
      </c>
      <c r="H325" s="95">
        <f t="shared" si="230"/>
        <v>2326586</v>
      </c>
      <c r="I325" s="107">
        <f t="shared" si="230"/>
        <v>2714349</v>
      </c>
      <c r="J325" s="34">
        <f t="shared" si="230"/>
        <v>2726839</v>
      </c>
      <c r="K325" s="342">
        <f t="shared" si="230"/>
        <v>3017111</v>
      </c>
      <c r="L325" s="526">
        <f t="shared" ref="L325:M325" si="231">SUM(L323:L324)</f>
        <v>3005121</v>
      </c>
      <c r="M325" s="309">
        <f t="shared" si="231"/>
        <v>0</v>
      </c>
      <c r="N325" s="444"/>
    </row>
    <row r="326" spans="1:14" ht="10.15" customHeight="1">
      <c r="A326" s="148" t="s">
        <v>155</v>
      </c>
      <c r="B326" s="38"/>
      <c r="C326" s="38">
        <f t="shared" ref="C326:G326" si="232">(C325-B325)/B325</f>
        <v>8.2642404566631838E-3</v>
      </c>
      <c r="D326" s="38">
        <f t="shared" si="232"/>
        <v>0.16793776731869345</v>
      </c>
      <c r="E326" s="38">
        <f t="shared" si="232"/>
        <v>8.9855148148389914E-3</v>
      </c>
      <c r="F326" s="38">
        <f t="shared" si="232"/>
        <v>0.21246758428086973</v>
      </c>
      <c r="G326" s="38">
        <f t="shared" si="232"/>
        <v>5.2941508659578454E-3</v>
      </c>
      <c r="H326" s="38">
        <f t="shared" ref="H326:J326" si="233">(H325-G325)/G325</f>
        <v>2.9097183611309786E-2</v>
      </c>
      <c r="I326" s="38">
        <f t="shared" si="233"/>
        <v>0.16666609358089493</v>
      </c>
      <c r="J326" s="38">
        <f t="shared" si="233"/>
        <v>4.6014716604239171E-3</v>
      </c>
      <c r="K326" s="298">
        <f>(K325-J325)/J325</f>
        <v>0.10644999576432639</v>
      </c>
      <c r="L326" s="508">
        <f>(L325-K325)/K325</f>
        <v>-3.9740002936584033E-3</v>
      </c>
      <c r="M326" s="298">
        <f>(M325-L325)/L325</f>
        <v>-1</v>
      </c>
      <c r="N326" s="444"/>
    </row>
    <row r="327" spans="1:14" ht="13">
      <c r="A327" s="64" t="s">
        <v>26</v>
      </c>
      <c r="B327" s="34">
        <f>SUM(B325,B321)</f>
        <v>7729272</v>
      </c>
      <c r="C327" s="107">
        <f t="shared" ref="C327:F327" si="234">SUM(C325,C321)</f>
        <v>7741635</v>
      </c>
      <c r="D327" s="34">
        <f t="shared" si="234"/>
        <v>7418989</v>
      </c>
      <c r="E327" s="107">
        <f t="shared" si="234"/>
        <v>7632570</v>
      </c>
      <c r="F327" s="34">
        <f t="shared" si="234"/>
        <v>8222919</v>
      </c>
      <c r="G327" s="107">
        <f t="shared" ref="G327:K327" si="235">SUM(G325,G321)</f>
        <v>7835097</v>
      </c>
      <c r="H327" s="95">
        <f t="shared" si="235"/>
        <v>7829354</v>
      </c>
      <c r="I327" s="107">
        <f t="shared" si="235"/>
        <v>8540442</v>
      </c>
      <c r="J327" s="34">
        <f t="shared" si="235"/>
        <v>9150537</v>
      </c>
      <c r="K327" s="335">
        <f t="shared" si="235"/>
        <v>9490587</v>
      </c>
      <c r="L327" s="516">
        <f t="shared" ref="L327:M327" si="236">SUM(L325,L321)</f>
        <v>9546923</v>
      </c>
      <c r="M327" s="324">
        <f t="shared" si="236"/>
        <v>123526</v>
      </c>
      <c r="N327" s="444"/>
    </row>
    <row r="328" spans="1:14" ht="13">
      <c r="A328" s="65" t="s">
        <v>60</v>
      </c>
      <c r="B328" s="33">
        <v>130008</v>
      </c>
      <c r="C328" s="106">
        <v>-38459</v>
      </c>
      <c r="D328" s="33">
        <v>181597</v>
      </c>
      <c r="E328" s="106">
        <v>297724</v>
      </c>
      <c r="F328" s="33">
        <v>336822</v>
      </c>
      <c r="G328" s="105">
        <v>520394</v>
      </c>
      <c r="H328" s="93">
        <v>422249</v>
      </c>
      <c r="I328" s="106">
        <v>250150</v>
      </c>
      <c r="J328" s="255">
        <v>611795</v>
      </c>
      <c r="K328" s="338">
        <v>-30174</v>
      </c>
      <c r="L328" s="522">
        <v>255996</v>
      </c>
      <c r="M328" s="306"/>
      <c r="N328" s="444"/>
    </row>
    <row r="329" spans="1:14" ht="13">
      <c r="A329" s="64" t="s">
        <v>88</v>
      </c>
      <c r="B329" s="34">
        <f>SUM(B327:B328)</f>
        <v>7859280</v>
      </c>
      <c r="C329" s="107">
        <f t="shared" ref="C329:F329" si="237">SUM(C327:C328)</f>
        <v>7703176</v>
      </c>
      <c r="D329" s="34">
        <f t="shared" si="237"/>
        <v>7600586</v>
      </c>
      <c r="E329" s="107">
        <f t="shared" si="237"/>
        <v>7930294</v>
      </c>
      <c r="F329" s="34">
        <f t="shared" si="237"/>
        <v>8559741</v>
      </c>
      <c r="G329" s="107">
        <f t="shared" ref="G329:J329" si="238">SUM(G327:G328)</f>
        <v>8355491</v>
      </c>
      <c r="H329" s="95">
        <f t="shared" si="238"/>
        <v>8251603</v>
      </c>
      <c r="I329" s="107">
        <f t="shared" si="238"/>
        <v>8790592</v>
      </c>
      <c r="J329" s="34">
        <f t="shared" si="238"/>
        <v>9762332</v>
      </c>
      <c r="K329" s="335">
        <f>SUM(K327:K328)</f>
        <v>9460413</v>
      </c>
      <c r="L329" s="516">
        <f>SUM(L327:L328)</f>
        <v>9802919</v>
      </c>
      <c r="M329" s="324">
        <f>SUM(M327:M328)</f>
        <v>123526</v>
      </c>
      <c r="N329" s="444"/>
    </row>
    <row r="330" spans="1:14" ht="10.9" customHeight="1">
      <c r="A330" s="148" t="s">
        <v>155</v>
      </c>
      <c r="B330" s="38"/>
      <c r="C330" s="38">
        <f t="shared" ref="C330:G330" si="239">(C329-B329)/B329</f>
        <v>-1.986237925102554E-2</v>
      </c>
      <c r="D330" s="38">
        <f t="shared" si="239"/>
        <v>-1.3317883428861031E-2</v>
      </c>
      <c r="E330" s="38">
        <f t="shared" si="239"/>
        <v>4.3379286807622465E-2</v>
      </c>
      <c r="F330" s="38">
        <f t="shared" si="239"/>
        <v>7.937246714938942E-2</v>
      </c>
      <c r="G330" s="38">
        <f t="shared" si="239"/>
        <v>-2.3861703292190735E-2</v>
      </c>
      <c r="H330" s="38">
        <f t="shared" ref="H330:J330" si="240">(H329-G329)/G329</f>
        <v>-1.2433500317336229E-2</v>
      </c>
      <c r="I330" s="38">
        <f t="shared" si="240"/>
        <v>6.5319308260467696E-2</v>
      </c>
      <c r="J330" s="38">
        <f t="shared" si="240"/>
        <v>0.11054318070955858</v>
      </c>
      <c r="K330" s="298">
        <f>(K329-J329)/J329</f>
        <v>-3.0926934261199066E-2</v>
      </c>
      <c r="L330" s="508">
        <f>(L329-K329)/K329</f>
        <v>3.6204127663348309E-2</v>
      </c>
      <c r="M330" s="298">
        <f>(M329-L329)/L329</f>
        <v>-0.98739905940261263</v>
      </c>
    </row>
    <row r="331" spans="1:14" ht="11.5" customHeight="1">
      <c r="A331" s="92" t="s">
        <v>89</v>
      </c>
      <c r="B331" s="90"/>
      <c r="C331" s="755"/>
      <c r="D331" s="90"/>
      <c r="E331" s="755"/>
      <c r="F331" s="749"/>
      <c r="G331" s="364"/>
      <c r="H331" s="76"/>
      <c r="I331" s="115"/>
      <c r="J331" s="25"/>
      <c r="K331" s="337"/>
      <c r="L331" s="514"/>
      <c r="M331" s="579"/>
    </row>
    <row r="332" spans="1:14" ht="11.5" customHeight="1">
      <c r="A332" s="65" t="s">
        <v>228</v>
      </c>
      <c r="B332" s="90"/>
      <c r="C332" s="755"/>
      <c r="D332" s="90"/>
      <c r="E332" s="755"/>
      <c r="F332" s="749"/>
      <c r="G332" s="364"/>
      <c r="H332" s="76"/>
      <c r="I332" s="115"/>
      <c r="J332" s="25"/>
      <c r="K332" s="337"/>
      <c r="L332" s="515">
        <v>0</v>
      </c>
      <c r="M332" s="580"/>
    </row>
    <row r="333" spans="1:14" ht="11.5" customHeight="1">
      <c r="A333" s="65" t="s">
        <v>65</v>
      </c>
      <c r="B333" s="33">
        <v>1292950</v>
      </c>
      <c r="C333" s="106">
        <v>1425766</v>
      </c>
      <c r="D333" s="33">
        <v>1897270</v>
      </c>
      <c r="E333" s="106">
        <v>1897212</v>
      </c>
      <c r="F333" s="30">
        <v>1497412</v>
      </c>
      <c r="G333" s="105">
        <v>1724262</v>
      </c>
      <c r="H333" s="121">
        <v>2365693</v>
      </c>
      <c r="I333" s="106">
        <v>2564083</v>
      </c>
      <c r="J333" s="255">
        <v>2654030</v>
      </c>
      <c r="K333" s="338">
        <v>2773027</v>
      </c>
      <c r="L333" s="522">
        <v>4175273</v>
      </c>
      <c r="M333" s="306"/>
    </row>
    <row r="334" spans="1:14" ht="11.5" customHeight="1">
      <c r="A334" s="65" t="s">
        <v>66</v>
      </c>
      <c r="B334" s="33">
        <v>1687510</v>
      </c>
      <c r="C334" s="106">
        <v>1529801</v>
      </c>
      <c r="D334" s="33">
        <v>2447058</v>
      </c>
      <c r="E334" s="106">
        <v>1123944</v>
      </c>
      <c r="F334" s="30">
        <v>1000914</v>
      </c>
      <c r="G334" s="105">
        <v>1683773</v>
      </c>
      <c r="H334" s="121">
        <v>1632929</v>
      </c>
      <c r="I334" s="106">
        <v>1903560</v>
      </c>
      <c r="J334" s="255">
        <v>1834928</v>
      </c>
      <c r="K334" s="338">
        <v>2024414</v>
      </c>
      <c r="L334" s="522">
        <v>1842736</v>
      </c>
      <c r="M334" s="306"/>
    </row>
    <row r="335" spans="1:14" ht="11.5" customHeight="1">
      <c r="A335" s="65" t="s">
        <v>67</v>
      </c>
      <c r="B335" s="33">
        <v>0</v>
      </c>
      <c r="C335" s="106">
        <v>0</v>
      </c>
      <c r="D335" s="33">
        <v>0</v>
      </c>
      <c r="E335" s="106">
        <v>1590050</v>
      </c>
      <c r="F335" s="30">
        <v>1584245</v>
      </c>
      <c r="G335" s="105">
        <v>1159770</v>
      </c>
      <c r="H335" s="121">
        <v>1795073</v>
      </c>
      <c r="I335" s="106">
        <v>3041141</v>
      </c>
      <c r="J335" s="255">
        <v>3182138</v>
      </c>
      <c r="K335" s="338">
        <v>3508002</v>
      </c>
      <c r="L335" s="522">
        <v>3727372</v>
      </c>
      <c r="M335" s="306"/>
    </row>
    <row r="336" spans="1:14" ht="11.5" customHeight="1">
      <c r="A336" s="64" t="s">
        <v>90</v>
      </c>
      <c r="B336" s="34">
        <f>SUM(B333:B335)</f>
        <v>2980460</v>
      </c>
      <c r="C336" s="107">
        <f t="shared" ref="C336:F336" si="241">SUM(C333:C335)</f>
        <v>2955567</v>
      </c>
      <c r="D336" s="34">
        <f t="shared" si="241"/>
        <v>4344328</v>
      </c>
      <c r="E336" s="107">
        <f t="shared" si="241"/>
        <v>4611206</v>
      </c>
      <c r="F336" s="34">
        <f t="shared" si="241"/>
        <v>4082571</v>
      </c>
      <c r="G336" s="107">
        <f t="shared" ref="G336:K336" si="242">SUM(G333:G335)</f>
        <v>4567805</v>
      </c>
      <c r="H336" s="95">
        <f t="shared" si="242"/>
        <v>5793695</v>
      </c>
      <c r="I336" s="107">
        <f t="shared" si="242"/>
        <v>7508784</v>
      </c>
      <c r="J336" s="34">
        <f t="shared" si="242"/>
        <v>7671096</v>
      </c>
      <c r="K336" s="342">
        <f t="shared" si="242"/>
        <v>8305443</v>
      </c>
      <c r="L336" s="526">
        <f>SUM(L332:L335)</f>
        <v>9745381</v>
      </c>
      <c r="M336" s="309">
        <f>SUM(M332:M335)</f>
        <v>0</v>
      </c>
    </row>
    <row r="337" spans="1:15" ht="11.5" customHeight="1">
      <c r="A337" s="148" t="s">
        <v>155</v>
      </c>
      <c r="B337" s="38"/>
      <c r="C337" s="38">
        <f t="shared" ref="C337:G337" si="243">(C336-B336)/B336</f>
        <v>-8.352066459539802E-3</v>
      </c>
      <c r="D337" s="38">
        <f t="shared" si="243"/>
        <v>0.46987972189430993</v>
      </c>
      <c r="E337" s="38">
        <f t="shared" si="243"/>
        <v>6.1431365219200763E-2</v>
      </c>
      <c r="F337" s="38">
        <f t="shared" si="243"/>
        <v>-0.11464137581361579</v>
      </c>
      <c r="G337" s="38">
        <f t="shared" si="243"/>
        <v>0.11885500582843507</v>
      </c>
      <c r="H337" s="38">
        <f t="shared" ref="H337:J337" si="244">(H336-G336)/G336</f>
        <v>0.2683761675465568</v>
      </c>
      <c r="I337" s="38">
        <f t="shared" si="244"/>
        <v>0.29602680154892519</v>
      </c>
      <c r="J337" s="38">
        <f t="shared" si="244"/>
        <v>2.1616283009339463E-2</v>
      </c>
      <c r="K337" s="298">
        <f>(K336-J336)/J336</f>
        <v>8.26931379818477E-2</v>
      </c>
      <c r="L337" s="508">
        <f>(L336-K336)/K336</f>
        <v>0.1733728110589646</v>
      </c>
      <c r="M337" s="298">
        <f>(M336-L336)/L336</f>
        <v>-1</v>
      </c>
    </row>
    <row r="338" spans="1:15" ht="11.5" customHeight="1">
      <c r="A338" s="69" t="s">
        <v>91</v>
      </c>
      <c r="B338" s="43">
        <f t="shared" ref="B338:J338" si="245">SUM(B301+B313+B315-B329)</f>
        <v>2980460</v>
      </c>
      <c r="C338" s="43">
        <f t="shared" si="245"/>
        <v>2955566.9656907618</v>
      </c>
      <c r="D338" s="43">
        <f t="shared" si="245"/>
        <v>4344328.2004698776</v>
      </c>
      <c r="E338" s="43">
        <f t="shared" si="245"/>
        <v>4611205.8822414503</v>
      </c>
      <c r="F338" s="43">
        <f t="shared" si="245"/>
        <v>4082570.9802324306</v>
      </c>
      <c r="G338" s="43">
        <f t="shared" si="245"/>
        <v>4567805.1407905184</v>
      </c>
      <c r="H338" s="124">
        <f t="shared" si="245"/>
        <v>5793695.0235546883</v>
      </c>
      <c r="I338" s="125">
        <f t="shared" si="245"/>
        <v>7508784.1110413689</v>
      </c>
      <c r="J338" s="125">
        <f t="shared" si="245"/>
        <v>7671095.9138337187</v>
      </c>
      <c r="K338" s="343">
        <f>SUM(K301+K313+K315-K329)</f>
        <v>8305443</v>
      </c>
      <c r="L338" s="545">
        <f>SUM(L301+L313+L315-L329)</f>
        <v>9745381</v>
      </c>
      <c r="M338" s="343">
        <f>SUM(M301+M313+M315-M329)</f>
        <v>-123526</v>
      </c>
      <c r="N338" s="444"/>
      <c r="O338" s="444"/>
    </row>
    <row r="339" spans="1:15" ht="11.5" customHeight="1">
      <c r="A339" s="161" t="s">
        <v>175</v>
      </c>
      <c r="B339" s="162">
        <f>SUM(B336/B329)</f>
        <v>0.37922812267790434</v>
      </c>
      <c r="C339" s="162">
        <f t="shared" ref="C339:F339" si="246">SUM(C336/C329)</f>
        <v>0.38368161392132283</v>
      </c>
      <c r="D339" s="162">
        <f t="shared" si="246"/>
        <v>0.57157803358846282</v>
      </c>
      <c r="E339" s="162">
        <f t="shared" si="246"/>
        <v>0.58146721924811362</v>
      </c>
      <c r="F339" s="162">
        <f t="shared" si="246"/>
        <v>0.47695029557553204</v>
      </c>
      <c r="G339" s="162">
        <f t="shared" ref="G339:K339" si="247">SUM(G336/G329)</f>
        <v>0.54668301360147475</v>
      </c>
      <c r="H339" s="163">
        <f t="shared" si="247"/>
        <v>0.7021296346903747</v>
      </c>
      <c r="I339" s="162">
        <f t="shared" si="247"/>
        <v>0.85418410955712654</v>
      </c>
      <c r="J339" s="162">
        <f t="shared" si="247"/>
        <v>0.78578519968384608</v>
      </c>
      <c r="K339" s="344">
        <f t="shared" si="247"/>
        <v>0.87791547789721236</v>
      </c>
      <c r="L339" s="546">
        <f t="shared" ref="L339:M339" si="248">SUM(L336/L329)</f>
        <v>0.99413052377562239</v>
      </c>
      <c r="M339" s="344">
        <f t="shared" si="248"/>
        <v>0</v>
      </c>
    </row>
    <row r="340" spans="1:15" s="149" customFormat="1" ht="11.5" customHeight="1">
      <c r="A340" s="155"/>
      <c r="B340" s="172"/>
      <c r="C340" s="172"/>
      <c r="D340" s="172"/>
      <c r="E340" s="172"/>
      <c r="F340" s="172"/>
      <c r="G340" s="172"/>
      <c r="H340" s="172"/>
      <c r="I340" s="172"/>
      <c r="J340" s="157"/>
      <c r="K340" s="345"/>
      <c r="L340" s="345"/>
      <c r="M340" s="693"/>
    </row>
    <row r="341" spans="1:15" ht="11.5" customHeight="1">
      <c r="A341" s="151" t="s">
        <v>101</v>
      </c>
      <c r="B341" s="128" t="s">
        <v>118</v>
      </c>
      <c r="C341" s="128" t="s">
        <v>307</v>
      </c>
      <c r="D341" s="129" t="s">
        <v>316</v>
      </c>
      <c r="E341" s="130" t="s">
        <v>309</v>
      </c>
      <c r="F341" s="756" t="s">
        <v>322</v>
      </c>
      <c r="G341" s="131" t="s">
        <v>123</v>
      </c>
      <c r="H341" s="130" t="s">
        <v>122</v>
      </c>
      <c r="I341" s="129" t="s">
        <v>174</v>
      </c>
      <c r="J341" s="130" t="s">
        <v>157</v>
      </c>
      <c r="K341" s="130" t="s">
        <v>209</v>
      </c>
      <c r="L341" s="547" t="str">
        <f>L2</f>
        <v>CY'2016</v>
      </c>
      <c r="M341" s="592" t="str">
        <f>M2</f>
        <v>CY'2017</v>
      </c>
    </row>
    <row r="342" spans="1:15" ht="13">
      <c r="A342" s="126" t="s">
        <v>102</v>
      </c>
      <c r="B342" s="33">
        <v>2980460</v>
      </c>
      <c r="C342" s="33">
        <v>2955567</v>
      </c>
      <c r="D342" s="33">
        <v>4344328</v>
      </c>
      <c r="E342" s="33">
        <v>4611206</v>
      </c>
      <c r="F342" s="757">
        <v>4082571</v>
      </c>
      <c r="G342" s="132">
        <v>4567805</v>
      </c>
      <c r="H342" s="133">
        <v>5793695</v>
      </c>
      <c r="I342" s="133">
        <v>7508784</v>
      </c>
      <c r="J342" s="133">
        <v>7671096</v>
      </c>
      <c r="K342" s="346">
        <f>K336</f>
        <v>8305443</v>
      </c>
      <c r="L342" s="548">
        <f>L336</f>
        <v>9745381</v>
      </c>
      <c r="M342" s="346">
        <f>M336</f>
        <v>0</v>
      </c>
    </row>
    <row r="343" spans="1:15" ht="13">
      <c r="A343" s="126" t="s">
        <v>26</v>
      </c>
      <c r="B343" s="33">
        <v>7859280</v>
      </c>
      <c r="C343" s="33">
        <v>7703176</v>
      </c>
      <c r="D343" s="33">
        <v>7600586</v>
      </c>
      <c r="E343" s="33">
        <v>7930294</v>
      </c>
      <c r="F343" s="34">
        <v>8559741</v>
      </c>
      <c r="G343" s="132">
        <v>8355491</v>
      </c>
      <c r="H343" s="133">
        <v>8251603</v>
      </c>
      <c r="I343" s="133">
        <v>8790592</v>
      </c>
      <c r="J343" s="133">
        <v>9762332</v>
      </c>
      <c r="K343" s="308">
        <f>K329</f>
        <v>9460413</v>
      </c>
      <c r="L343" s="525">
        <f>L329</f>
        <v>9802919</v>
      </c>
      <c r="M343" s="308">
        <f>M329</f>
        <v>123526</v>
      </c>
    </row>
    <row r="344" spans="1:15" ht="13">
      <c r="A344" s="152" t="s">
        <v>176</v>
      </c>
      <c r="B344" s="136">
        <f>SUM(B342/B343)</f>
        <v>0.37922812267790434</v>
      </c>
      <c r="C344" s="136">
        <f t="shared" ref="C344:F344" si="249">SUM(C342/C343)</f>
        <v>0.38368161392132283</v>
      </c>
      <c r="D344" s="136">
        <f t="shared" si="249"/>
        <v>0.57157803358846282</v>
      </c>
      <c r="E344" s="136">
        <f t="shared" si="249"/>
        <v>0.58146721924811362</v>
      </c>
      <c r="F344" s="136">
        <f t="shared" si="249"/>
        <v>0.47695029557553204</v>
      </c>
      <c r="G344" s="136">
        <f t="shared" ref="G344:J344" si="250">SUM(G342/G343)</f>
        <v>0.54668301360147475</v>
      </c>
      <c r="H344" s="136">
        <f t="shared" si="250"/>
        <v>0.7021296346903747</v>
      </c>
      <c r="I344" s="136">
        <f t="shared" si="250"/>
        <v>0.85418410955712654</v>
      </c>
      <c r="J344" s="136">
        <f t="shared" si="250"/>
        <v>0.78578519968384608</v>
      </c>
      <c r="K344" s="347">
        <f>SUM(K342/K343)</f>
        <v>0.87791547789721236</v>
      </c>
      <c r="L344" s="549">
        <f>SUM(L342/L343)</f>
        <v>0.99413052377562239</v>
      </c>
      <c r="M344" s="347">
        <f>SUM(M342/M343)</f>
        <v>0</v>
      </c>
    </row>
    <row r="345" spans="1:15" ht="13">
      <c r="A345" s="126"/>
      <c r="B345" s="127"/>
      <c r="C345" s="127"/>
      <c r="D345" s="127"/>
      <c r="E345" s="127"/>
      <c r="F345" s="127"/>
      <c r="G345" s="126"/>
      <c r="H345" s="127"/>
      <c r="I345" s="127"/>
      <c r="J345" s="127"/>
      <c r="K345" s="323"/>
      <c r="L345" s="537"/>
      <c r="M345" s="323"/>
    </row>
    <row r="346" spans="1:15" ht="13">
      <c r="A346" s="126" t="s">
        <v>103</v>
      </c>
      <c r="B346" s="133">
        <v>3034837</v>
      </c>
      <c r="C346" s="133">
        <v>3052444</v>
      </c>
      <c r="D346" s="133">
        <v>2966547</v>
      </c>
      <c r="E346" s="133">
        <v>4456744</v>
      </c>
      <c r="F346" s="133">
        <v>4610594</v>
      </c>
      <c r="G346" s="132">
        <v>4101532</v>
      </c>
      <c r="H346" s="133">
        <v>4567752</v>
      </c>
      <c r="I346" s="133">
        <v>5794086</v>
      </c>
      <c r="J346" s="133">
        <v>7497998</v>
      </c>
      <c r="K346" s="308">
        <f>K11</f>
        <v>7716536</v>
      </c>
      <c r="L346" s="525">
        <f>L11</f>
        <v>8302779</v>
      </c>
      <c r="M346" s="308">
        <f>M11</f>
        <v>9740311</v>
      </c>
    </row>
    <row r="347" spans="1:15" ht="13">
      <c r="A347" s="148" t="s">
        <v>155</v>
      </c>
      <c r="B347" s="38"/>
      <c r="C347" s="38">
        <f t="shared" ref="C347:G347" si="251">(C346-B346)/B346</f>
        <v>5.8016295438601808E-3</v>
      </c>
      <c r="D347" s="38">
        <f t="shared" si="251"/>
        <v>-2.8140401592953057E-2</v>
      </c>
      <c r="E347" s="38">
        <f t="shared" si="251"/>
        <v>0.50233385818596499</v>
      </c>
      <c r="F347" s="38">
        <f t="shared" si="251"/>
        <v>3.4520717366759233E-2</v>
      </c>
      <c r="G347" s="38">
        <f t="shared" si="251"/>
        <v>-0.11041136998833556</v>
      </c>
      <c r="H347" s="38">
        <f t="shared" ref="H347:J347" si="252">(H346-G346)/G346</f>
        <v>0.11366972146017634</v>
      </c>
      <c r="I347" s="38">
        <f t="shared" si="252"/>
        <v>0.26847648471283031</v>
      </c>
      <c r="J347" s="38">
        <f t="shared" si="252"/>
        <v>0.29407778897310122</v>
      </c>
      <c r="K347" s="298">
        <f>(K346-J346)/J346</f>
        <v>2.9146180087004557E-2</v>
      </c>
      <c r="L347" s="508">
        <f>(L346-K346)/K346</f>
        <v>7.5972301561218661E-2</v>
      </c>
      <c r="M347" s="298">
        <f>(M346-L346)/L346</f>
        <v>0.17313865634626671</v>
      </c>
    </row>
    <row r="348" spans="1:15" ht="13">
      <c r="A348" s="126" t="s">
        <v>104</v>
      </c>
      <c r="B348" s="133">
        <v>7889203</v>
      </c>
      <c r="C348" s="133">
        <v>7550448</v>
      </c>
      <c r="D348" s="133">
        <v>8796847</v>
      </c>
      <c r="E348" s="133">
        <v>8052196</v>
      </c>
      <c r="F348" s="133">
        <v>7696339</v>
      </c>
      <c r="G348" s="132">
        <v>8786321</v>
      </c>
      <c r="H348" s="133">
        <v>9434796</v>
      </c>
      <c r="I348" s="133">
        <v>10366099</v>
      </c>
      <c r="J348" s="133">
        <v>9906268</v>
      </c>
      <c r="K348" s="308">
        <f>K313</f>
        <v>9871261</v>
      </c>
      <c r="L348" s="525">
        <f>L313</f>
        <v>11370939</v>
      </c>
      <c r="M348" s="308">
        <f>M313</f>
        <v>0</v>
      </c>
    </row>
    <row r="349" spans="1:15" ht="13">
      <c r="A349" s="148" t="s">
        <v>155</v>
      </c>
      <c r="B349" s="38"/>
      <c r="C349" s="38">
        <f t="shared" ref="C349:G349" si="253">(C348-B348)/B348</f>
        <v>-4.2939064947371743E-2</v>
      </c>
      <c r="D349" s="38">
        <f t="shared" si="253"/>
        <v>0.16507616501696323</v>
      </c>
      <c r="E349" s="38">
        <f t="shared" si="253"/>
        <v>-8.4649761442935179E-2</v>
      </c>
      <c r="F349" s="38">
        <f t="shared" si="253"/>
        <v>-4.4193782665002193E-2</v>
      </c>
      <c r="G349" s="38">
        <f t="shared" si="253"/>
        <v>0.14162343940411148</v>
      </c>
      <c r="H349" s="38">
        <f t="shared" ref="H349:J349" si="254">(H348-G348)/G348</f>
        <v>7.3805065851793944E-2</v>
      </c>
      <c r="I349" s="38">
        <f t="shared" si="254"/>
        <v>9.8709394458555325E-2</v>
      </c>
      <c r="J349" s="38">
        <f t="shared" si="254"/>
        <v>-4.4359117156801221E-2</v>
      </c>
      <c r="K349" s="298">
        <f>(K348-J348)/J348</f>
        <v>-3.5338232319174082E-3</v>
      </c>
      <c r="L349" s="508">
        <f>(L348-K348)/K348</f>
        <v>0.15192364987614043</v>
      </c>
      <c r="M349" s="298">
        <f>(M348-L348)/L348</f>
        <v>-1</v>
      </c>
    </row>
    <row r="350" spans="1:15" ht="13">
      <c r="A350" s="126" t="s">
        <v>105</v>
      </c>
      <c r="B350" s="133"/>
      <c r="C350" s="133">
        <f>(C346+C348)</f>
        <v>10602892</v>
      </c>
      <c r="D350" s="133">
        <f t="shared" ref="D350:F350" si="255">(D346+D348)</f>
        <v>11763394</v>
      </c>
      <c r="E350" s="133">
        <f t="shared" si="255"/>
        <v>12508940</v>
      </c>
      <c r="F350" s="133">
        <f t="shared" si="255"/>
        <v>12306933</v>
      </c>
      <c r="G350" s="133">
        <f t="shared" ref="G350:K350" si="256">(G346+G348)</f>
        <v>12887853</v>
      </c>
      <c r="H350" s="133">
        <f t="shared" si="256"/>
        <v>14002548</v>
      </c>
      <c r="I350" s="133">
        <f t="shared" si="256"/>
        <v>16160185</v>
      </c>
      <c r="J350" s="133">
        <f>(J346+J348)</f>
        <v>17404266</v>
      </c>
      <c r="K350" s="348">
        <f t="shared" si="256"/>
        <v>17587797</v>
      </c>
      <c r="L350" s="550">
        <f t="shared" ref="L350:M350" si="257">(L346+L348)</f>
        <v>19673718</v>
      </c>
      <c r="M350" s="348">
        <f t="shared" si="257"/>
        <v>9740311</v>
      </c>
    </row>
    <row r="351" spans="1:15" ht="13">
      <c r="A351" s="148" t="s">
        <v>155</v>
      </c>
      <c r="B351" s="38"/>
      <c r="C351" s="38"/>
      <c r="D351" s="38">
        <f t="shared" ref="D351:G351" si="258">(D350-C350)/C350</f>
        <v>0.10945145909248157</v>
      </c>
      <c r="E351" s="38">
        <f t="shared" si="258"/>
        <v>6.3378477334007519E-2</v>
      </c>
      <c r="F351" s="38">
        <f t="shared" si="258"/>
        <v>-1.6149010227885018E-2</v>
      </c>
      <c r="G351" s="38">
        <f t="shared" si="258"/>
        <v>4.7202662109235502E-2</v>
      </c>
      <c r="H351" s="38">
        <f t="shared" ref="H351:J351" si="259">(H350-G350)/G350</f>
        <v>8.6491908310872265E-2</v>
      </c>
      <c r="I351" s="38">
        <f t="shared" si="259"/>
        <v>0.15408888439446877</v>
      </c>
      <c r="J351" s="38">
        <f t="shared" si="259"/>
        <v>7.6984329077915872E-2</v>
      </c>
      <c r="K351" s="298">
        <f>(K350-J350)/J350</f>
        <v>1.0545173235113735E-2</v>
      </c>
      <c r="L351" s="508">
        <f>(L350-K350)/K350</f>
        <v>0.11860047054216057</v>
      </c>
      <c r="M351" s="298">
        <f>(M350-L350)/L350</f>
        <v>-0.50490746080634075</v>
      </c>
    </row>
    <row r="352" spans="1:15" ht="13">
      <c r="A352" s="126" t="s">
        <v>102</v>
      </c>
      <c r="B352" s="133">
        <v>2980460</v>
      </c>
      <c r="C352" s="133">
        <v>2955567</v>
      </c>
      <c r="D352" s="133">
        <v>4344328</v>
      </c>
      <c r="E352" s="133">
        <v>4611206</v>
      </c>
      <c r="F352" s="133">
        <v>4082571</v>
      </c>
      <c r="G352" s="132">
        <v>4567805</v>
      </c>
      <c r="H352" s="133">
        <v>5793695</v>
      </c>
      <c r="I352" s="133">
        <v>7508784</v>
      </c>
      <c r="J352" s="133">
        <v>7671096</v>
      </c>
      <c r="K352" s="346">
        <f>K342</f>
        <v>8305443</v>
      </c>
      <c r="L352" s="548">
        <f>L342</f>
        <v>9745381</v>
      </c>
      <c r="M352" s="346">
        <f>M342</f>
        <v>0</v>
      </c>
    </row>
    <row r="353" spans="1:13" ht="13">
      <c r="A353" s="148" t="s">
        <v>155</v>
      </c>
      <c r="B353" s="38"/>
      <c r="C353" s="38">
        <f t="shared" ref="C353:G353" si="260">(C352-B352)/B352</f>
        <v>-8.352066459539802E-3</v>
      </c>
      <c r="D353" s="38">
        <f t="shared" si="260"/>
        <v>0.46987972189430993</v>
      </c>
      <c r="E353" s="38">
        <f t="shared" si="260"/>
        <v>6.1431365219200763E-2</v>
      </c>
      <c r="F353" s="38">
        <f t="shared" si="260"/>
        <v>-0.11464137581361579</v>
      </c>
      <c r="G353" s="38">
        <f t="shared" si="260"/>
        <v>0.11885500582843507</v>
      </c>
      <c r="H353" s="38">
        <f t="shared" ref="H353:J353" si="261">(H352-G352)/G352</f>
        <v>0.2683761675465568</v>
      </c>
      <c r="I353" s="38">
        <f t="shared" si="261"/>
        <v>0.29602680154892519</v>
      </c>
      <c r="J353" s="38">
        <f t="shared" si="261"/>
        <v>2.1616283009339463E-2</v>
      </c>
      <c r="K353" s="298">
        <f>(K352-J352)/J352</f>
        <v>8.26931379818477E-2</v>
      </c>
      <c r="L353" s="508">
        <f>(L352-K352)/K352</f>
        <v>0.1733728110589646</v>
      </c>
      <c r="M353" s="298">
        <f>(M352-L352)/L352</f>
        <v>-1</v>
      </c>
    </row>
    <row r="354" spans="1:13" ht="13">
      <c r="A354" s="126" t="s">
        <v>177</v>
      </c>
      <c r="B354" s="100"/>
      <c r="C354" s="100">
        <f t="shared" ref="C354:F354" si="262">SUM(C352/C350)</f>
        <v>0.27875102377728644</v>
      </c>
      <c r="D354" s="100">
        <f t="shared" si="262"/>
        <v>0.369309061653465</v>
      </c>
      <c r="E354" s="100">
        <f t="shared" si="262"/>
        <v>0.36863283379726819</v>
      </c>
      <c r="F354" s="100">
        <f t="shared" si="262"/>
        <v>0.33172935937816511</v>
      </c>
      <c r="G354" s="100">
        <f t="shared" ref="G354:K354" si="263">SUM(G352/G350)</f>
        <v>0.354427149347529</v>
      </c>
      <c r="H354" s="100">
        <f t="shared" si="263"/>
        <v>0.41376005281324513</v>
      </c>
      <c r="I354" s="100">
        <f t="shared" si="263"/>
        <v>0.46464715595768241</v>
      </c>
      <c r="J354" s="100">
        <f>SUM(J352/J350)</f>
        <v>0.44075952413046321</v>
      </c>
      <c r="K354" s="349">
        <f t="shared" si="263"/>
        <v>0.47222759052768237</v>
      </c>
      <c r="L354" s="551">
        <f t="shared" ref="L354:M354" si="264">SUM(L352/L350)</f>
        <v>0.49535024340594902</v>
      </c>
      <c r="M354" s="349">
        <f t="shared" si="264"/>
        <v>0</v>
      </c>
    </row>
    <row r="355" spans="1:13" ht="13">
      <c r="A355" s="126"/>
      <c r="B355" s="127"/>
      <c r="C355" s="127"/>
      <c r="D355" s="127"/>
      <c r="E355" s="127"/>
      <c r="F355" s="127"/>
      <c r="G355" s="126"/>
      <c r="H355" s="127"/>
      <c r="I355" s="127"/>
      <c r="J355" s="127"/>
      <c r="K355" s="323"/>
      <c r="L355" s="537"/>
      <c r="M355" s="323"/>
    </row>
    <row r="356" spans="1:13" ht="13">
      <c r="A356" s="126" t="s">
        <v>106</v>
      </c>
      <c r="B356" s="133">
        <v>10924040</v>
      </c>
      <c r="C356" s="133">
        <v>10602892</v>
      </c>
      <c r="D356" s="133">
        <v>11763394</v>
      </c>
      <c r="E356" s="133">
        <v>12508940</v>
      </c>
      <c r="F356" s="133">
        <v>12306933</v>
      </c>
      <c r="G356" s="132">
        <v>12887853</v>
      </c>
      <c r="H356" s="133">
        <v>14002548</v>
      </c>
      <c r="I356" s="133">
        <v>16160185</v>
      </c>
      <c r="J356" s="133">
        <v>17404266</v>
      </c>
      <c r="K356" s="308">
        <f>K350</f>
        <v>17587797</v>
      </c>
      <c r="L356" s="525">
        <f>L350</f>
        <v>19673718</v>
      </c>
      <c r="M356" s="308">
        <f>M350</f>
        <v>9740311</v>
      </c>
    </row>
    <row r="357" spans="1:13" ht="13">
      <c r="A357" s="148" t="s">
        <v>155</v>
      </c>
      <c r="B357" s="38"/>
      <c r="C357" s="38">
        <f t="shared" ref="C357:G357" si="265">(C356-B356)/B356</f>
        <v>-2.93982812219655E-2</v>
      </c>
      <c r="D357" s="38">
        <f t="shared" si="265"/>
        <v>0.10945145909248157</v>
      </c>
      <c r="E357" s="38">
        <f t="shared" si="265"/>
        <v>6.3378477334007519E-2</v>
      </c>
      <c r="F357" s="38">
        <f t="shared" si="265"/>
        <v>-1.6149010227885018E-2</v>
      </c>
      <c r="G357" s="38">
        <f t="shared" si="265"/>
        <v>4.7202662109235502E-2</v>
      </c>
      <c r="H357" s="38">
        <f t="shared" ref="H357:J357" si="266">(H356-G356)/G356</f>
        <v>8.6491908310872265E-2</v>
      </c>
      <c r="I357" s="38">
        <f t="shared" si="266"/>
        <v>0.15408888439446877</v>
      </c>
      <c r="J357" s="38">
        <f t="shared" si="266"/>
        <v>7.6984329077915872E-2</v>
      </c>
      <c r="K357" s="298">
        <f>(K356-J356)/J356</f>
        <v>1.0545173235113735E-2</v>
      </c>
      <c r="L357" s="508">
        <f>(L356-K356)/K356</f>
        <v>0.11860047054216057</v>
      </c>
      <c r="M357" s="298">
        <f>(M356-L356)/L356</f>
        <v>-0.50490746080634075</v>
      </c>
    </row>
    <row r="358" spans="1:13" ht="13">
      <c r="A358" s="126" t="s">
        <v>107</v>
      </c>
      <c r="B358" s="33">
        <v>7859280</v>
      </c>
      <c r="C358" s="33">
        <v>7703176</v>
      </c>
      <c r="D358" s="33">
        <v>7600586</v>
      </c>
      <c r="E358" s="33">
        <v>7930294</v>
      </c>
      <c r="F358" s="34">
        <v>8559741</v>
      </c>
      <c r="G358" s="132">
        <v>8355491</v>
      </c>
      <c r="H358" s="133">
        <v>8251603</v>
      </c>
      <c r="I358" s="133">
        <v>8790592</v>
      </c>
      <c r="J358" s="133">
        <v>9762332</v>
      </c>
      <c r="K358" s="346">
        <f>K343</f>
        <v>9460413</v>
      </c>
      <c r="L358" s="548">
        <f>L343</f>
        <v>9802919</v>
      </c>
      <c r="M358" s="346">
        <f>M343</f>
        <v>123526</v>
      </c>
    </row>
    <row r="359" spans="1:13" ht="13">
      <c r="A359" s="126" t="s">
        <v>108</v>
      </c>
      <c r="B359" s="100">
        <f>SUM(B358/B356)</f>
        <v>0.71944811626467864</v>
      </c>
      <c r="C359" s="100">
        <f t="shared" ref="C359:F359" si="267">SUM(C358/C356)</f>
        <v>0.72651650134699097</v>
      </c>
      <c r="D359" s="100">
        <f t="shared" si="267"/>
        <v>0.6461218590485025</v>
      </c>
      <c r="E359" s="100">
        <f t="shared" si="267"/>
        <v>0.63397010458120351</v>
      </c>
      <c r="F359" s="100">
        <f t="shared" si="267"/>
        <v>0.69552186560209595</v>
      </c>
      <c r="G359" s="100">
        <f t="shared" ref="G359:J359" si="268">SUM(G358/G356)</f>
        <v>0.64832295961165909</v>
      </c>
      <c r="H359" s="100">
        <f t="shared" si="268"/>
        <v>0.58929296296645439</v>
      </c>
      <c r="I359" s="100">
        <f t="shared" si="268"/>
        <v>0.54396604989361197</v>
      </c>
      <c r="J359" s="100">
        <f t="shared" si="268"/>
        <v>0.56091604207841916</v>
      </c>
      <c r="K359" s="350">
        <f>SUM(K358/K356)</f>
        <v>0.53789641761273455</v>
      </c>
      <c r="L359" s="552">
        <f>SUM(L358/L356)</f>
        <v>0.49827485582542153</v>
      </c>
      <c r="M359" s="350">
        <f>SUM(M358/M356)</f>
        <v>1.2681935925865201E-2</v>
      </c>
    </row>
    <row r="360" spans="1:13" ht="13">
      <c r="A360" s="126"/>
      <c r="B360" s="127"/>
      <c r="C360" s="127"/>
      <c r="D360" s="127"/>
      <c r="E360" s="127"/>
      <c r="F360" s="127"/>
      <c r="G360" s="126"/>
      <c r="H360" s="127"/>
      <c r="I360" s="127"/>
      <c r="J360" s="127"/>
      <c r="K360" s="323"/>
      <c r="L360" s="537"/>
      <c r="M360" s="323"/>
    </row>
    <row r="361" spans="1:13" ht="13">
      <c r="A361" s="126" t="s">
        <v>109</v>
      </c>
      <c r="B361" s="133">
        <v>3097840</v>
      </c>
      <c r="C361" s="133">
        <v>3119608</v>
      </c>
      <c r="D361" s="133">
        <v>3155374</v>
      </c>
      <c r="E361" s="133">
        <v>3082846</v>
      </c>
      <c r="F361" s="133">
        <v>3421488</v>
      </c>
      <c r="G361" s="132">
        <v>3499966</v>
      </c>
      <c r="H361" s="133">
        <v>3462016</v>
      </c>
      <c r="I361" s="133">
        <v>3500902</v>
      </c>
      <c r="J361" s="133">
        <f>J39</f>
        <v>3927458</v>
      </c>
      <c r="K361" s="308">
        <f>K39</f>
        <v>3843658</v>
      </c>
      <c r="L361" s="525">
        <f>L39</f>
        <v>3906002</v>
      </c>
      <c r="M361" s="308">
        <f>M39</f>
        <v>4237564</v>
      </c>
    </row>
    <row r="362" spans="1:13" ht="13">
      <c r="A362" s="153" t="s">
        <v>110</v>
      </c>
      <c r="B362" s="154"/>
      <c r="C362" s="154"/>
      <c r="D362" s="154"/>
      <c r="E362" s="154">
        <f t="shared" ref="E362:F362" si="269">AVERAGE(D361,C361,B361)*105%</f>
        <v>3280487.7</v>
      </c>
      <c r="F362" s="154">
        <f t="shared" si="269"/>
        <v>3275239.8000000003</v>
      </c>
      <c r="G362" s="154">
        <f t="shared" ref="G362" si="270">AVERAGE(F361,E361,D361)*105%</f>
        <v>3380897.8</v>
      </c>
      <c r="H362" s="154">
        <f t="shared" ref="H362" si="271">AVERAGE(G361,F361,E361)*105%</f>
        <v>3501505</v>
      </c>
      <c r="I362" s="154">
        <f t="shared" ref="I362" si="272">AVERAGE(H361,G361,F361)*105%</f>
        <v>3634214.5</v>
      </c>
      <c r="J362" s="154">
        <f>AVERAGE(I361,H361,G361)*105%</f>
        <v>3662009.4000000004</v>
      </c>
      <c r="K362" s="351">
        <f>AVERAGE(J361,I361,H361)*105%</f>
        <v>3811631.6</v>
      </c>
      <c r="L362" s="553">
        <f>AVERAGE(K361,J361,I361)*105%</f>
        <v>3945206.3000000003</v>
      </c>
      <c r="M362" s="351">
        <f>AVERAGE(L361,K361,J361)*105%</f>
        <v>4086991.3</v>
      </c>
    </row>
  </sheetData>
  <printOptions horizontalCentered="1" verticalCentered="1"/>
  <pageMargins left="0.2" right="0.21" top="0.37" bottom="0.2" header="0.2" footer="0.2"/>
  <pageSetup scale="76" orientation="landscape" r:id="rId1"/>
  <headerFooter>
    <oddHeader>&amp;LCMC Cycle Report 10yr Comparison&amp;Rpage &amp;P of &amp;N</oddHeader>
  </headerFooter>
  <rowBreaks count="7" manualBreakCount="7">
    <brk id="48" max="12" man="1"/>
    <brk id="96" max="16383" man="1"/>
    <brk id="145" max="16383" man="1"/>
    <brk id="193" max="16383" man="1"/>
    <brk id="242" max="16383" man="1"/>
    <brk id="290" max="16383" man="1"/>
    <brk id="339" max="16383" man="1"/>
  </rowBreaks>
</worksheet>
</file>

<file path=xl/worksheets/sheet10.xml><?xml version="1.0" encoding="utf-8"?>
<worksheet xmlns="http://schemas.openxmlformats.org/spreadsheetml/2006/main" xmlns:r="http://schemas.openxmlformats.org/officeDocument/2006/relationships">
  <dimension ref="A1:E41"/>
  <sheetViews>
    <sheetView view="pageBreakPreview" topLeftCell="A4" zoomScale="60" zoomScaleNormal="140" workbookViewId="0">
      <selection activeCell="E16" sqref="E16"/>
    </sheetView>
  </sheetViews>
  <sheetFormatPr defaultRowHeight="20"/>
  <cols>
    <col min="1" max="1" width="3.1796875" customWidth="1"/>
    <col min="2" max="2" width="53.54296875" bestFit="1" customWidth="1"/>
    <col min="3" max="3" width="21" bestFit="1" customWidth="1"/>
    <col min="4" max="4" width="6.81640625" customWidth="1"/>
    <col min="5" max="5" width="54.453125" style="184" bestFit="1" customWidth="1"/>
  </cols>
  <sheetData>
    <row r="1" spans="1:5" ht="26.25" customHeight="1">
      <c r="B1" s="825" t="s">
        <v>244</v>
      </c>
      <c r="C1" s="825"/>
      <c r="D1" s="269"/>
      <c r="E1" s="614"/>
    </row>
    <row r="2" spans="1:5" ht="26.25" customHeight="1">
      <c r="B2" s="826" t="s">
        <v>284</v>
      </c>
      <c r="C2" s="825"/>
      <c r="D2" s="269"/>
      <c r="E2" s="614"/>
    </row>
    <row r="3" spans="1:5" ht="22.5">
      <c r="B3" s="827" t="s">
        <v>270</v>
      </c>
      <c r="C3" s="827"/>
      <c r="D3" s="269"/>
      <c r="E3" s="269"/>
    </row>
    <row r="4" spans="1:5">
      <c r="B4" s="673" t="s">
        <v>250</v>
      </c>
      <c r="C4" s="675"/>
      <c r="D4" s="269"/>
      <c r="E4" s="269"/>
    </row>
    <row r="5" spans="1:5" ht="20.5">
      <c r="A5" s="683">
        <v>1</v>
      </c>
      <c r="B5" s="670" t="s">
        <v>285</v>
      </c>
      <c r="C5" s="676">
        <f>Estimate!D40</f>
        <v>9237.5</v>
      </c>
      <c r="D5" s="269"/>
      <c r="E5" s="269"/>
    </row>
    <row r="6" spans="1:5" ht="20.5">
      <c r="A6" s="683">
        <v>2</v>
      </c>
      <c r="B6" s="670" t="s">
        <v>286</v>
      </c>
      <c r="C6" s="671">
        <f>C5*0.35</f>
        <v>3233.125</v>
      </c>
      <c r="D6" s="269"/>
      <c r="E6" s="269" t="s">
        <v>296</v>
      </c>
    </row>
    <row r="7" spans="1:5" ht="23">
      <c r="A7" s="683"/>
      <c r="B7" s="668"/>
      <c r="C7" s="677"/>
      <c r="D7" s="269"/>
      <c r="E7" s="269"/>
    </row>
    <row r="8" spans="1:5" ht="20.5">
      <c r="A8" s="683"/>
      <c r="B8" s="674" t="s">
        <v>251</v>
      </c>
      <c r="C8" s="676"/>
      <c r="E8" s="269"/>
    </row>
    <row r="9" spans="1:5" ht="20.5">
      <c r="A9" s="683">
        <v>3</v>
      </c>
      <c r="B9" s="670" t="s">
        <v>293</v>
      </c>
      <c r="C9" s="676">
        <v>9700</v>
      </c>
      <c r="E9" s="269" t="s">
        <v>296</v>
      </c>
    </row>
    <row r="10" spans="1:5" ht="20.5">
      <c r="A10" s="683">
        <v>4</v>
      </c>
      <c r="B10" s="670" t="s">
        <v>294</v>
      </c>
      <c r="C10" s="676">
        <f>C9*0.65</f>
        <v>6305</v>
      </c>
      <c r="E10" s="269" t="s">
        <v>296</v>
      </c>
    </row>
    <row r="11" spans="1:5" ht="20.5">
      <c r="A11" s="683">
        <v>5</v>
      </c>
      <c r="B11" s="670" t="s">
        <v>297</v>
      </c>
      <c r="C11" s="671">
        <f>C10*75%</f>
        <v>4728.75</v>
      </c>
      <c r="E11" s="269" t="s">
        <v>298</v>
      </c>
    </row>
    <row r="12" spans="1:5" ht="21" thickBot="1">
      <c r="A12" s="683"/>
      <c r="B12" s="675"/>
      <c r="C12" s="669"/>
      <c r="E12" s="269"/>
    </row>
    <row r="13" spans="1:5" ht="21" thickBot="1">
      <c r="A13" s="683">
        <v>6</v>
      </c>
      <c r="B13" s="670" t="s">
        <v>287</v>
      </c>
      <c r="C13" s="672">
        <f>C6+C11</f>
        <v>7961.875</v>
      </c>
      <c r="E13" s="269" t="s">
        <v>300</v>
      </c>
    </row>
    <row r="14" spans="1:5" ht="18.5" thickBot="1">
      <c r="A14" s="683"/>
      <c r="B14" s="675"/>
      <c r="C14" s="675"/>
      <c r="E14" s="269"/>
    </row>
    <row r="15" spans="1:5" ht="23.5" thickBot="1">
      <c r="A15" s="683">
        <v>7</v>
      </c>
      <c r="B15" s="678" t="s">
        <v>271</v>
      </c>
      <c r="C15" s="679">
        <f>C5-C13</f>
        <v>1275.625</v>
      </c>
      <c r="E15" s="269" t="s">
        <v>299</v>
      </c>
    </row>
    <row r="35" spans="2:5" ht="20.5" thickBot="1"/>
    <row r="36" spans="2:5" ht="22.5">
      <c r="B36" s="615" t="s">
        <v>252</v>
      </c>
      <c r="C36" s="626">
        <v>0.25</v>
      </c>
    </row>
    <row r="37" spans="2:5" ht="23" thickBot="1">
      <c r="B37" s="616" t="s">
        <v>254</v>
      </c>
      <c r="C37" s="617">
        <f>100%-C36</f>
        <v>0.75</v>
      </c>
    </row>
    <row r="38" spans="2:5" ht="23.5" thickBot="1">
      <c r="B38" s="618"/>
      <c r="C38" s="619" t="s">
        <v>262</v>
      </c>
      <c r="D38" s="269"/>
      <c r="E38" s="614"/>
    </row>
    <row r="39" spans="2:5" ht="23">
      <c r="B39" s="620" t="s">
        <v>259</v>
      </c>
      <c r="C39" s="621">
        <f>9645334/1000</f>
        <v>9645.3340000000007</v>
      </c>
      <c r="D39" s="613"/>
      <c r="E39" s="614" t="s">
        <v>263</v>
      </c>
    </row>
    <row r="40" spans="2:5" ht="23">
      <c r="B40" s="622" t="s">
        <v>260</v>
      </c>
      <c r="C40" s="623">
        <v>400</v>
      </c>
      <c r="D40" s="269"/>
      <c r="E40" s="614" t="s">
        <v>263</v>
      </c>
    </row>
    <row r="41" spans="2:5" ht="23.5" thickBot="1">
      <c r="B41" s="624" t="s">
        <v>261</v>
      </c>
      <c r="C41" s="625">
        <f>C39+C40</f>
        <v>10045.334000000001</v>
      </c>
      <c r="D41" s="269"/>
      <c r="E41" s="614"/>
    </row>
  </sheetData>
  <mergeCells count="3">
    <mergeCell ref="B1:C1"/>
    <mergeCell ref="B2:C2"/>
    <mergeCell ref="B3:C3"/>
  </mergeCells>
  <pageMargins left="0.7" right="0.7" top="0.75" bottom="0.75" header="0.3" footer="0.3"/>
  <pageSetup scale="66" orientation="portrait" r:id="rId1"/>
</worksheet>
</file>

<file path=xl/worksheets/sheet11.xml><?xml version="1.0" encoding="utf-8"?>
<worksheet xmlns="http://schemas.openxmlformats.org/spreadsheetml/2006/main" xmlns:r="http://schemas.openxmlformats.org/officeDocument/2006/relationships">
  <dimension ref="B1:P295"/>
  <sheetViews>
    <sheetView view="pageBreakPreview" zoomScale="60" zoomScaleNormal="90" zoomScalePageLayoutView="86" workbookViewId="0">
      <selection activeCell="E45" sqref="E45"/>
    </sheetView>
  </sheetViews>
  <sheetFormatPr defaultRowHeight="12.5"/>
  <cols>
    <col min="1" max="1" width="4.1796875" customWidth="1"/>
    <col min="2" max="2" width="3.81640625" customWidth="1"/>
    <col min="3" max="3" width="1.1796875" customWidth="1"/>
    <col min="4" max="4" width="53.1796875" customWidth="1"/>
    <col min="5" max="5" width="21.1796875" customWidth="1"/>
    <col min="6" max="6" width="19.7265625" customWidth="1"/>
    <col min="7" max="7" width="17.54296875" customWidth="1"/>
    <col min="8" max="8" width="14.453125" bestFit="1" customWidth="1"/>
    <col min="9" max="9" width="10" customWidth="1"/>
    <col min="15" max="15" width="29.7265625" customWidth="1"/>
  </cols>
  <sheetData>
    <row r="1" spans="2:16" ht="15.75" customHeight="1">
      <c r="B1" s="821" t="s">
        <v>243</v>
      </c>
      <c r="C1" s="822"/>
      <c r="D1" s="822"/>
      <c r="E1" s="822"/>
      <c r="F1" s="822"/>
      <c r="G1" s="822"/>
      <c r="H1" s="822"/>
    </row>
    <row r="2" spans="2:16" ht="15.75" customHeight="1">
      <c r="B2" s="821" t="s">
        <v>37</v>
      </c>
      <c r="C2" s="822"/>
      <c r="D2" s="822"/>
      <c r="E2" s="822"/>
      <c r="F2" s="822"/>
      <c r="G2" s="822"/>
      <c r="H2" s="822"/>
    </row>
    <row r="3" spans="2:16" ht="15.75" customHeight="1">
      <c r="B3" s="821" t="s">
        <v>249</v>
      </c>
      <c r="C3" s="822"/>
      <c r="D3" s="822"/>
      <c r="E3" s="822"/>
      <c r="F3" s="822"/>
      <c r="G3" s="822"/>
      <c r="H3" s="822"/>
    </row>
    <row r="4" spans="2:16" ht="16.5" customHeight="1" thickBot="1">
      <c r="B4" s="823">
        <v>43327</v>
      </c>
      <c r="C4" s="824"/>
      <c r="D4" s="824"/>
      <c r="E4" s="824"/>
      <c r="F4" s="824"/>
      <c r="G4" s="824"/>
      <c r="H4" s="824"/>
    </row>
    <row r="5" spans="2:16" s="183" customFormat="1" ht="40.5" customHeight="1" thickTop="1">
      <c r="B5" s="812"/>
      <c r="C5" s="813"/>
      <c r="D5" s="814"/>
      <c r="E5" s="656" t="s">
        <v>272</v>
      </c>
      <c r="F5" s="629" t="s">
        <v>269</v>
      </c>
      <c r="G5" s="442" t="s">
        <v>245</v>
      </c>
      <c r="H5" s="429" t="s">
        <v>246</v>
      </c>
      <c r="I5" s="436" t="s">
        <v>155</v>
      </c>
      <c r="K5" s="250" t="s">
        <v>150</v>
      </c>
    </row>
    <row r="6" spans="2:16" s="183" customFormat="1" ht="19.75" customHeight="1">
      <c r="B6" s="815"/>
      <c r="C6" s="816"/>
      <c r="D6" s="816"/>
      <c r="E6" s="829" t="s">
        <v>23</v>
      </c>
      <c r="F6" s="830"/>
      <c r="G6" s="830"/>
      <c r="H6" s="831"/>
      <c r="I6" s="630"/>
    </row>
    <row r="7" spans="2:16" s="183" customFormat="1" ht="33.65" customHeight="1" thickBot="1">
      <c r="B7" s="650">
        <v>1</v>
      </c>
      <c r="C7" s="651"/>
      <c r="D7" s="652" t="s">
        <v>235</v>
      </c>
      <c r="E7" s="653">
        <f>'total available supply and Sale'!I33/1000</f>
        <v>7393.9719999999998</v>
      </c>
      <c r="F7" s="631">
        <f>'Marketing Policy'!E7</f>
        <v>7393.9719999999998</v>
      </c>
      <c r="G7" s="427">
        <v>8026.1008999999985</v>
      </c>
      <c r="H7" s="430">
        <f>'total available supply and Sale'!B33/1000</f>
        <v>9627.1370000000006</v>
      </c>
      <c r="I7" s="630"/>
      <c r="J7" s="252"/>
      <c r="K7" s="811" t="s">
        <v>154</v>
      </c>
      <c r="L7" s="811"/>
      <c r="M7" s="811"/>
      <c r="N7" s="811"/>
      <c r="O7" s="811"/>
      <c r="P7" s="811"/>
    </row>
    <row r="8" spans="2:16" s="183" customFormat="1" ht="18">
      <c r="B8" s="262"/>
      <c r="C8" s="263"/>
      <c r="D8" s="437" t="s">
        <v>15</v>
      </c>
      <c r="E8" s="654"/>
      <c r="F8" s="632"/>
      <c r="G8" s="428"/>
      <c r="H8" s="431"/>
      <c r="I8" s="433"/>
      <c r="K8" s="249"/>
      <c r="L8" s="248"/>
      <c r="M8" s="248"/>
      <c r="N8" s="248"/>
      <c r="O8" s="248"/>
      <c r="P8" s="248"/>
    </row>
    <row r="9" spans="2:16" s="183" customFormat="1" ht="31.15" customHeight="1" thickBot="1">
      <c r="B9" s="438">
        <v>2</v>
      </c>
      <c r="C9" s="264"/>
      <c r="D9" s="439" t="s">
        <v>38</v>
      </c>
      <c r="E9" s="765">
        <f>'Impact of Producer Allotment'!C13</f>
        <v>7961.875</v>
      </c>
      <c r="F9" s="633">
        <f>'Marketing Policy'!E9</f>
        <v>9237.5</v>
      </c>
      <c r="G9" s="427">
        <v>8967.4999999999982</v>
      </c>
      <c r="H9" s="468">
        <f>'total available supply and Sale'!C33/1000</f>
        <v>8121.9859999999999</v>
      </c>
      <c r="I9" s="433"/>
      <c r="J9" s="251"/>
      <c r="K9" s="810" t="s">
        <v>180</v>
      </c>
      <c r="L9" s="810"/>
      <c r="M9" s="810"/>
      <c r="N9" s="810"/>
      <c r="O9" s="810"/>
      <c r="P9" s="810"/>
    </row>
    <row r="10" spans="2:16" s="183" customFormat="1" ht="31.9" customHeight="1" thickBot="1">
      <c r="B10" s="438">
        <v>3</v>
      </c>
      <c r="C10" s="264"/>
      <c r="D10" s="439" t="s">
        <v>16</v>
      </c>
      <c r="E10" s="761">
        <f>F10</f>
        <v>1766.8587500000001</v>
      </c>
      <c r="F10" s="633">
        <f>'Marketing Policy'!E10</f>
        <v>1766.8587500000001</v>
      </c>
      <c r="G10" s="427">
        <v>1755.355</v>
      </c>
      <c r="H10" s="468">
        <f>'total available supply and Sale'!D33/1000</f>
        <v>1413.4870000000001</v>
      </c>
      <c r="I10" s="254">
        <f>'Marketing Policy'!H10</f>
        <v>0.25</v>
      </c>
      <c r="J10" s="251"/>
      <c r="K10" s="810" t="s">
        <v>181</v>
      </c>
      <c r="L10" s="810"/>
      <c r="M10" s="810"/>
      <c r="N10" s="810"/>
      <c r="O10" s="810"/>
      <c r="P10" s="810"/>
    </row>
    <row r="11" spans="2:16" s="183" customFormat="1" ht="26.25" customHeight="1" thickBot="1">
      <c r="B11" s="438">
        <v>4</v>
      </c>
      <c r="C11" s="264"/>
      <c r="D11" s="439" t="s">
        <v>39</v>
      </c>
      <c r="E11" s="761">
        <f>(E9+E10)</f>
        <v>9728.7337499999994</v>
      </c>
      <c r="F11" s="633">
        <f>'Marketing Policy'!E11</f>
        <v>11004.358749999999</v>
      </c>
      <c r="G11" s="467">
        <v>10722.854999999998</v>
      </c>
      <c r="H11" s="469">
        <f>(H9+H10)</f>
        <v>9535.473</v>
      </c>
      <c r="I11" s="433"/>
      <c r="J11" s="251"/>
      <c r="K11" s="811" t="s">
        <v>182</v>
      </c>
      <c r="L11" s="811"/>
      <c r="M11" s="811"/>
      <c r="N11" s="811"/>
      <c r="O11" s="811"/>
      <c r="P11" s="811"/>
    </row>
    <row r="12" spans="2:16" s="183" customFormat="1" ht="18" customHeight="1">
      <c r="B12" s="438"/>
      <c r="C12" s="264"/>
      <c r="D12" s="439"/>
      <c r="E12" s="761"/>
      <c r="F12" s="633"/>
      <c r="G12" s="467"/>
      <c r="H12" s="468"/>
      <c r="I12" s="433"/>
      <c r="K12" s="811"/>
      <c r="L12" s="811"/>
      <c r="M12" s="811"/>
      <c r="N12" s="811"/>
      <c r="O12" s="811"/>
      <c r="P12" s="811"/>
    </row>
    <row r="13" spans="2:16" s="183" customFormat="1" ht="15.65" customHeight="1" thickBot="1">
      <c r="B13" s="438">
        <v>5</v>
      </c>
      <c r="C13" s="264"/>
      <c r="D13" s="439" t="s">
        <v>17</v>
      </c>
      <c r="E13" s="761">
        <f>(E7+E11)</f>
        <v>17122.705750000001</v>
      </c>
      <c r="F13" s="633">
        <f>'Marketing Policy'!E13</f>
        <v>18398.330750000001</v>
      </c>
      <c r="G13" s="467">
        <v>18748.955899999997</v>
      </c>
      <c r="H13" s="469">
        <f>(H7+H11)</f>
        <v>19162.61</v>
      </c>
      <c r="I13" s="433"/>
      <c r="J13" s="251"/>
      <c r="K13" s="811" t="s">
        <v>186</v>
      </c>
      <c r="L13" s="811"/>
      <c r="M13" s="811"/>
      <c r="N13" s="811"/>
      <c r="O13" s="811"/>
      <c r="P13" s="811"/>
    </row>
    <row r="14" spans="2:16" s="183" customFormat="1" ht="16.899999999999999" customHeight="1">
      <c r="B14" s="438"/>
      <c r="C14" s="264"/>
      <c r="D14" s="439"/>
      <c r="E14" s="762"/>
      <c r="F14" s="633"/>
      <c r="G14" s="467"/>
      <c r="H14" s="468"/>
      <c r="I14" s="433"/>
      <c r="K14" s="811"/>
      <c r="L14" s="811"/>
      <c r="M14" s="811"/>
      <c r="N14" s="811"/>
      <c r="O14" s="811"/>
      <c r="P14" s="811"/>
    </row>
    <row r="15" spans="2:16" s="183" customFormat="1" ht="18">
      <c r="B15" s="262"/>
      <c r="C15" s="263"/>
      <c r="D15" s="437" t="s">
        <v>18</v>
      </c>
      <c r="E15" s="763"/>
      <c r="F15" s="634"/>
      <c r="G15" s="470"/>
      <c r="H15" s="471"/>
      <c r="I15" s="434"/>
      <c r="K15" s="249"/>
      <c r="L15" s="248"/>
      <c r="M15" s="248"/>
      <c r="N15" s="248"/>
      <c r="O15" s="248"/>
      <c r="P15" s="248"/>
    </row>
    <row r="16" spans="2:16" s="183" customFormat="1" ht="18.5" thickBot="1">
      <c r="B16" s="438">
        <v>6</v>
      </c>
      <c r="C16" s="264"/>
      <c r="D16" s="439" t="s">
        <v>183</v>
      </c>
      <c r="E16" s="761">
        <f>0.02*E7</f>
        <v>147.87943999999999</v>
      </c>
      <c r="F16" s="633">
        <f>'Marketing Policy'!E16</f>
        <v>147.87943999999999</v>
      </c>
      <c r="G16" s="467">
        <v>160.52201799999997</v>
      </c>
      <c r="H16" s="468">
        <f>0.02*H7</f>
        <v>192.54274000000001</v>
      </c>
      <c r="I16" s="433"/>
      <c r="J16" s="251"/>
      <c r="K16" s="249" t="s">
        <v>185</v>
      </c>
      <c r="L16" s="248"/>
      <c r="M16" s="248"/>
      <c r="N16" s="248"/>
      <c r="O16" s="248"/>
      <c r="P16" s="248"/>
    </row>
    <row r="17" spans="2:16" s="183" customFormat="1" ht="31.15" customHeight="1" thickBot="1">
      <c r="B17" s="438">
        <v>7</v>
      </c>
      <c r="C17" s="264"/>
      <c r="D17" s="439" t="s">
        <v>115</v>
      </c>
      <c r="E17" s="761">
        <f>(0.04*E11)</f>
        <v>389.14934999999997</v>
      </c>
      <c r="F17" s="633">
        <f>'Marketing Policy'!E17</f>
        <v>440.17435</v>
      </c>
      <c r="G17" s="467">
        <v>428.91419999999994</v>
      </c>
      <c r="H17" s="468">
        <f>0.04*H11</f>
        <v>381.41892000000001</v>
      </c>
      <c r="I17" s="433"/>
      <c r="J17" s="251"/>
      <c r="K17" s="810" t="s">
        <v>184</v>
      </c>
      <c r="L17" s="810"/>
      <c r="M17" s="810"/>
      <c r="N17" s="810"/>
      <c r="O17" s="810"/>
      <c r="P17" s="810"/>
    </row>
    <row r="18" spans="2:16" s="183" customFormat="1" ht="3" customHeight="1">
      <c r="B18" s="438"/>
      <c r="C18" s="264"/>
      <c r="D18" s="439"/>
      <c r="E18" s="761"/>
      <c r="F18" s="633"/>
      <c r="G18" s="467"/>
      <c r="H18" s="468"/>
      <c r="I18" s="433"/>
      <c r="K18" s="249"/>
      <c r="L18" s="248"/>
      <c r="M18" s="248"/>
      <c r="N18" s="248"/>
      <c r="O18" s="248"/>
      <c r="P18" s="248"/>
    </row>
    <row r="19" spans="2:16" s="183" customFormat="1" ht="25.5" customHeight="1" thickBot="1">
      <c r="B19" s="440">
        <v>8</v>
      </c>
      <c r="C19" s="432"/>
      <c r="D19" s="441" t="s">
        <v>40</v>
      </c>
      <c r="E19" s="764">
        <f>(E16+E17)</f>
        <v>537.02878999999996</v>
      </c>
      <c r="F19" s="635">
        <f>'Marketing Policy'!E19</f>
        <v>588.05378999999994</v>
      </c>
      <c r="G19" s="472">
        <v>589.43621799999994</v>
      </c>
      <c r="H19" s="473">
        <f>'total available supply and Sale'!G33/1000</f>
        <v>686.42200000000003</v>
      </c>
      <c r="I19" s="433"/>
      <c r="J19" s="443"/>
      <c r="K19" s="811" t="s">
        <v>192</v>
      </c>
      <c r="L19" s="811"/>
      <c r="M19" s="811"/>
      <c r="N19" s="811"/>
      <c r="O19" s="811"/>
      <c r="P19" s="811"/>
    </row>
    <row r="20" spans="2:16" s="183" customFormat="1" ht="31.9" customHeight="1">
      <c r="B20" s="438"/>
      <c r="C20" s="264"/>
      <c r="D20" s="439"/>
      <c r="E20" s="762"/>
      <c r="F20" s="633"/>
      <c r="G20" s="467"/>
      <c r="H20" s="468"/>
      <c r="I20" s="433"/>
      <c r="K20" s="811"/>
      <c r="L20" s="811"/>
      <c r="M20" s="811"/>
      <c r="N20" s="811"/>
      <c r="O20" s="811"/>
      <c r="P20" s="811"/>
    </row>
    <row r="21" spans="2:16" s="183" customFormat="1" ht="19.149999999999999" customHeight="1" thickBot="1">
      <c r="B21" s="438">
        <v>9</v>
      </c>
      <c r="C21" s="264"/>
      <c r="D21" s="439" t="s">
        <v>19</v>
      </c>
      <c r="E21" s="761">
        <f>(E13-E19)</f>
        <v>16585.676960000001</v>
      </c>
      <c r="F21" s="633">
        <f>'Marketing Policy'!E21</f>
        <v>17810.276960000003</v>
      </c>
      <c r="G21" s="467">
        <v>18159.519681999998</v>
      </c>
      <c r="H21" s="469">
        <f>(H13-H19)</f>
        <v>18476.188000000002</v>
      </c>
      <c r="I21" s="433"/>
      <c r="J21" s="251"/>
      <c r="K21" s="811" t="s">
        <v>187</v>
      </c>
      <c r="L21" s="811"/>
      <c r="M21" s="811"/>
      <c r="N21" s="811"/>
      <c r="O21" s="811"/>
      <c r="P21" s="811"/>
    </row>
    <row r="22" spans="2:16" s="183" customFormat="1" ht="15.65" customHeight="1">
      <c r="B22" s="438"/>
      <c r="C22" s="264"/>
      <c r="D22" s="439"/>
      <c r="E22" s="762"/>
      <c r="F22" s="633"/>
      <c r="G22" s="467"/>
      <c r="H22" s="468"/>
      <c r="I22" s="433"/>
      <c r="K22" s="811"/>
      <c r="L22" s="811"/>
      <c r="M22" s="811"/>
      <c r="N22" s="811"/>
      <c r="O22" s="811"/>
      <c r="P22" s="811"/>
    </row>
    <row r="23" spans="2:16" s="183" customFormat="1" ht="18">
      <c r="B23" s="262" t="s">
        <v>20</v>
      </c>
      <c r="C23" s="263"/>
      <c r="D23" s="437" t="s">
        <v>21</v>
      </c>
      <c r="E23" s="763"/>
      <c r="F23" s="634"/>
      <c r="G23" s="470"/>
      <c r="H23" s="471"/>
      <c r="I23" s="433"/>
      <c r="K23" s="249"/>
      <c r="L23" s="248"/>
      <c r="M23" s="248"/>
      <c r="N23" s="248"/>
      <c r="O23" s="248"/>
      <c r="P23" s="248"/>
    </row>
    <row r="24" spans="2:16" s="183" customFormat="1" ht="18.5" thickBot="1">
      <c r="B24" s="438">
        <v>10</v>
      </c>
      <c r="C24" s="264"/>
      <c r="D24" s="439" t="s">
        <v>41</v>
      </c>
      <c r="E24" s="762">
        <f>F24</f>
        <v>329.94499999999999</v>
      </c>
      <c r="F24" s="633">
        <f>'Marketing Policy'!E24</f>
        <v>329.94499999999999</v>
      </c>
      <c r="G24" s="467">
        <v>323.97399999999999</v>
      </c>
      <c r="H24" s="468">
        <f>Sales!G34/1000</f>
        <v>329.94499999999999</v>
      </c>
      <c r="I24" s="254">
        <f>'Marketing Policy'!H24</f>
        <v>0</v>
      </c>
      <c r="J24" s="251"/>
      <c r="K24" s="249" t="s">
        <v>188</v>
      </c>
      <c r="L24" s="248"/>
      <c r="M24" s="248"/>
      <c r="N24" s="248"/>
      <c r="O24" s="248"/>
      <c r="P24" s="248"/>
    </row>
    <row r="25" spans="2:16" s="183" customFormat="1" ht="18.5" thickBot="1">
      <c r="B25" s="438">
        <v>11</v>
      </c>
      <c r="C25" s="264"/>
      <c r="D25" s="439" t="s">
        <v>42</v>
      </c>
      <c r="E25" s="762">
        <f>F25</f>
        <v>9658.0638000000017</v>
      </c>
      <c r="F25" s="633">
        <f>'Marketing Policy'!E25</f>
        <v>9658.0638000000017</v>
      </c>
      <c r="G25" s="467">
        <v>9729.2592800000002</v>
      </c>
      <c r="H25" s="468">
        <f>Sales!H34/1000</f>
        <v>10731.182000000001</v>
      </c>
      <c r="I25" s="254">
        <f>'Marketing Policy'!H25</f>
        <v>-0.1</v>
      </c>
      <c r="J25" s="251"/>
      <c r="K25" s="249" t="s">
        <v>189</v>
      </c>
      <c r="L25" s="248"/>
      <c r="M25" s="248"/>
      <c r="N25" s="248"/>
      <c r="O25" s="248"/>
      <c r="P25" s="248"/>
    </row>
    <row r="26" spans="2:16" s="183" customFormat="1" ht="31.15" customHeight="1" thickBot="1">
      <c r="B26" s="438">
        <v>12</v>
      </c>
      <c r="C26" s="264"/>
      <c r="D26" s="439" t="s">
        <v>22</v>
      </c>
      <c r="E26" s="761">
        <f>E24+E25</f>
        <v>9988.0088000000014</v>
      </c>
      <c r="F26" s="633">
        <f>F25+F24</f>
        <v>9988.0088000000014</v>
      </c>
      <c r="G26" s="467">
        <v>10053.23328</v>
      </c>
      <c r="H26" s="468">
        <f>Sales!F34/1000</f>
        <v>11061.127</v>
      </c>
      <c r="I26" s="433"/>
      <c r="J26" s="251"/>
      <c r="K26" s="810" t="s">
        <v>190</v>
      </c>
      <c r="L26" s="810"/>
      <c r="M26" s="810"/>
      <c r="N26" s="810"/>
      <c r="O26" s="810"/>
      <c r="P26" s="810"/>
    </row>
    <row r="27" spans="2:16" s="183" customFormat="1" ht="26.5" customHeight="1" thickBot="1">
      <c r="B27" s="438">
        <v>13</v>
      </c>
      <c r="C27" s="264"/>
      <c r="D27" s="439" t="s">
        <v>234</v>
      </c>
      <c r="E27" s="761">
        <f>(E21-E26)</f>
        <v>6597.6681599999993</v>
      </c>
      <c r="F27" s="633">
        <f>F21-F26</f>
        <v>7822.2681600000014</v>
      </c>
      <c r="G27" s="467">
        <v>8106.2864019999979</v>
      </c>
      <c r="H27" s="468">
        <f>'total available supply and Sale'!I33/1000</f>
        <v>7393.9719999999998</v>
      </c>
      <c r="I27" s="433"/>
      <c r="J27" s="251"/>
      <c r="K27" s="811" t="s">
        <v>191</v>
      </c>
      <c r="L27" s="811"/>
      <c r="M27" s="811"/>
      <c r="N27" s="811"/>
      <c r="O27" s="811"/>
      <c r="P27" s="811"/>
    </row>
    <row r="28" spans="2:16" s="183" customFormat="1" ht="13.15" customHeight="1">
      <c r="B28" s="438"/>
      <c r="C28" s="264"/>
      <c r="D28" s="439"/>
      <c r="E28" s="655"/>
      <c r="F28" s="633"/>
      <c r="G28" s="467"/>
      <c r="H28" s="468"/>
      <c r="I28" s="433"/>
      <c r="J28" s="185"/>
      <c r="K28" s="811"/>
      <c r="L28" s="811"/>
      <c r="M28" s="811"/>
      <c r="N28" s="811"/>
      <c r="O28" s="811"/>
      <c r="P28" s="811"/>
    </row>
    <row r="29" spans="2:16" s="183" customFormat="1" ht="18">
      <c r="B29" s="440">
        <v>14</v>
      </c>
      <c r="C29" s="432"/>
      <c r="D29" s="441" t="s">
        <v>156</v>
      </c>
      <c r="E29" s="667">
        <f>(E27/E26)</f>
        <v>0.66055890539463669</v>
      </c>
      <c r="F29" s="666">
        <f>(F27/F26)</f>
        <v>0.78316592592509537</v>
      </c>
      <c r="G29" s="636">
        <v>0.80633624787427571</v>
      </c>
      <c r="H29" s="475">
        <f>'total available supply and Sale'!L33</f>
        <v>0.66846461486248188</v>
      </c>
      <c r="I29" s="435"/>
      <c r="K29" s="811"/>
      <c r="L29" s="811"/>
      <c r="M29" s="811"/>
      <c r="N29" s="811"/>
      <c r="O29" s="811"/>
      <c r="P29" s="811"/>
    </row>
    <row r="30" spans="2:16" ht="17.5" hidden="1">
      <c r="B30" s="3">
        <v>14</v>
      </c>
      <c r="C30" s="3"/>
      <c r="D30" s="4" t="s">
        <v>43</v>
      </c>
      <c r="E30" s="4"/>
      <c r="F30" s="2" t="s">
        <v>20</v>
      </c>
      <c r="G30" s="467"/>
      <c r="H30" s="2"/>
    </row>
    <row r="31" spans="2:16" ht="18" hidden="1" thickBot="1">
      <c r="B31" s="3"/>
      <c r="C31" s="3"/>
      <c r="D31" s="4"/>
      <c r="E31" s="4"/>
      <c r="F31" s="2"/>
      <c r="G31" s="474" t="e">
        <f>(G29/G28)</f>
        <v>#DIV/0!</v>
      </c>
      <c r="H31" s="2"/>
    </row>
    <row r="32" spans="2:16" ht="13" hidden="1">
      <c r="B32" s="3">
        <v>15</v>
      </c>
      <c r="C32" s="3"/>
      <c r="D32" s="4" t="s">
        <v>62</v>
      </c>
      <c r="E32" s="4"/>
      <c r="F32" s="2" t="e">
        <f>G27-F30</f>
        <v>#VALUE!</v>
      </c>
      <c r="G32" s="2"/>
      <c r="H32" s="2"/>
    </row>
    <row r="33" spans="2:8" ht="15.5">
      <c r="B33" s="17"/>
      <c r="C33" s="17"/>
      <c r="D33" s="17"/>
      <c r="E33" s="17"/>
      <c r="F33" s="17"/>
      <c r="G33" s="1"/>
      <c r="H33" s="1"/>
    </row>
    <row r="34" spans="2:8" ht="20">
      <c r="B34" s="1"/>
      <c r="C34" s="1"/>
      <c r="D34" s="221" t="s">
        <v>289</v>
      </c>
      <c r="E34" s="680">
        <f>E26</f>
        <v>9988.0088000000014</v>
      </c>
      <c r="F34" s="269" t="s">
        <v>302</v>
      </c>
      <c r="G34" s="269"/>
    </row>
    <row r="35" spans="2:8" ht="20.5">
      <c r="D35" s="221" t="s">
        <v>290</v>
      </c>
      <c r="E35" s="221"/>
      <c r="F35" s="269"/>
      <c r="G35" s="614"/>
      <c r="H35" s="614"/>
    </row>
    <row r="36" spans="2:8" ht="21" thickBot="1">
      <c r="D36" s="221" t="s">
        <v>291</v>
      </c>
      <c r="E36" s="680">
        <f>E27</f>
        <v>6597.6681599999993</v>
      </c>
      <c r="F36" s="269" t="s">
        <v>303</v>
      </c>
      <c r="G36" s="614"/>
      <c r="H36" s="614"/>
    </row>
    <row r="37" spans="2:8" ht="21" thickBot="1">
      <c r="D37" s="221" t="s">
        <v>301</v>
      </c>
      <c r="E37" s="681">
        <f>SUM(E34:E36)</f>
        <v>16585.676960000001</v>
      </c>
      <c r="F37" s="269" t="s">
        <v>304</v>
      </c>
      <c r="G37" s="614"/>
      <c r="H37" s="614"/>
    </row>
    <row r="38" spans="2:8" ht="20.5">
      <c r="E38" s="614"/>
      <c r="F38" s="614"/>
      <c r="G38" s="614"/>
      <c r="H38" s="614"/>
    </row>
    <row r="39" spans="2:8" ht="20.25" customHeight="1">
      <c r="D39" s="828" t="s">
        <v>292</v>
      </c>
      <c r="E39" s="828"/>
      <c r="F39" s="828"/>
      <c r="G39" s="828"/>
      <c r="H39" s="828"/>
    </row>
    <row r="40" spans="2:8" ht="18.75" customHeight="1">
      <c r="D40" s="828"/>
      <c r="E40" s="828"/>
      <c r="F40" s="828"/>
      <c r="G40" s="828"/>
      <c r="H40" s="828"/>
    </row>
    <row r="42" spans="2:8" ht="17.5">
      <c r="D42" s="766" t="s">
        <v>349</v>
      </c>
    </row>
    <row r="44" spans="2:8" ht="36.75" customHeight="1"/>
    <row r="56" spans="2:6" ht="13">
      <c r="B56" s="1"/>
      <c r="C56" s="1"/>
      <c r="D56" s="1"/>
      <c r="E56" s="1"/>
      <c r="F56" s="1"/>
    </row>
    <row r="57" spans="2:6" ht="13">
      <c r="B57" s="1"/>
      <c r="C57" s="1"/>
      <c r="D57" s="1"/>
      <c r="E57" s="1"/>
      <c r="F57" s="1"/>
    </row>
    <row r="58" spans="2:6" ht="13">
      <c r="B58" s="1"/>
      <c r="C58" s="1"/>
      <c r="D58" s="1"/>
      <c r="E58" s="1"/>
      <c r="F58" s="1"/>
    </row>
    <row r="59" spans="2:6" ht="13">
      <c r="B59" s="1"/>
      <c r="C59" s="1"/>
      <c r="D59" s="1"/>
      <c r="E59" s="1"/>
      <c r="F59" s="1"/>
    </row>
    <row r="60" spans="2:6" ht="13">
      <c r="B60" s="1"/>
      <c r="C60" s="1"/>
      <c r="D60" s="1"/>
      <c r="E60" s="1"/>
      <c r="F60" s="1"/>
    </row>
    <row r="61" spans="2:6" ht="13">
      <c r="B61" s="1"/>
      <c r="C61" s="1"/>
      <c r="D61" s="1"/>
      <c r="E61" s="1"/>
      <c r="F61" s="1"/>
    </row>
    <row r="62" spans="2:6" ht="13">
      <c r="B62" s="1"/>
      <c r="C62" s="1"/>
      <c r="D62" s="1"/>
      <c r="E62" s="1"/>
      <c r="F62" s="1"/>
    </row>
    <row r="63" spans="2:6" ht="13">
      <c r="B63" s="1"/>
      <c r="C63" s="1"/>
      <c r="D63" s="1"/>
      <c r="E63" s="1"/>
      <c r="F63" s="1"/>
    </row>
    <row r="64" spans="2:6" ht="13">
      <c r="B64" s="1"/>
      <c r="C64" s="1"/>
      <c r="D64" s="1"/>
      <c r="E64" s="1"/>
      <c r="F64" s="1"/>
    </row>
    <row r="65" spans="2:6" ht="13">
      <c r="B65" s="1"/>
      <c r="C65" s="1"/>
      <c r="D65" s="1"/>
      <c r="E65" s="1"/>
      <c r="F65" s="1"/>
    </row>
    <row r="66" spans="2:6" ht="13">
      <c r="B66" s="1"/>
      <c r="C66" s="1"/>
      <c r="D66" s="1"/>
      <c r="E66" s="1"/>
      <c r="F66" s="1"/>
    </row>
    <row r="67" spans="2:6" ht="13">
      <c r="B67" s="1"/>
      <c r="C67" s="1"/>
      <c r="D67" s="1"/>
      <c r="E67" s="1"/>
      <c r="F67" s="1"/>
    </row>
    <row r="68" spans="2:6" ht="13">
      <c r="B68" s="1"/>
      <c r="C68" s="1"/>
      <c r="D68" s="1"/>
      <c r="E68" s="1"/>
      <c r="F68" s="1"/>
    </row>
    <row r="69" spans="2:6" ht="13">
      <c r="B69" s="1"/>
      <c r="C69" s="1"/>
      <c r="D69" s="1"/>
      <c r="E69" s="1"/>
      <c r="F69" s="1"/>
    </row>
    <row r="70" spans="2:6" ht="13">
      <c r="B70" s="1"/>
      <c r="C70" s="1"/>
      <c r="D70" s="1"/>
      <c r="E70" s="1"/>
      <c r="F70" s="1"/>
    </row>
    <row r="71" spans="2:6" ht="13">
      <c r="B71" s="1"/>
      <c r="C71" s="1"/>
      <c r="D71" s="1"/>
      <c r="E71" s="1"/>
      <c r="F71" s="1"/>
    </row>
    <row r="72" spans="2:6" ht="13">
      <c r="B72" s="1"/>
      <c r="C72" s="1"/>
      <c r="D72" s="1"/>
      <c r="E72" s="1"/>
      <c r="F72" s="1"/>
    </row>
    <row r="73" spans="2:6" ht="13">
      <c r="B73" s="1"/>
      <c r="C73" s="1"/>
      <c r="D73" s="1"/>
      <c r="E73" s="1"/>
      <c r="F73" s="1"/>
    </row>
    <row r="74" spans="2:6" ht="13">
      <c r="B74" s="1"/>
      <c r="C74" s="1"/>
      <c r="D74" s="1"/>
      <c r="E74" s="1"/>
      <c r="F74" s="1"/>
    </row>
    <row r="75" spans="2:6" ht="13">
      <c r="B75" s="1"/>
      <c r="C75" s="1"/>
      <c r="D75" s="1"/>
      <c r="E75" s="1"/>
      <c r="F75" s="1"/>
    </row>
    <row r="76" spans="2:6" ht="13">
      <c r="B76" s="1"/>
      <c r="C76" s="1"/>
      <c r="D76" s="1"/>
      <c r="E76" s="1"/>
      <c r="F76" s="1"/>
    </row>
    <row r="77" spans="2:6" ht="13">
      <c r="B77" s="1"/>
      <c r="C77" s="1"/>
      <c r="D77" s="1"/>
      <c r="E77" s="1"/>
      <c r="F77" s="1"/>
    </row>
    <row r="78" spans="2:6" ht="13">
      <c r="B78" s="1"/>
      <c r="C78" s="1"/>
      <c r="D78" s="1"/>
      <c r="E78" s="1"/>
      <c r="F78" s="1"/>
    </row>
    <row r="79" spans="2:6" ht="13">
      <c r="B79" s="1"/>
      <c r="C79" s="1"/>
      <c r="D79" s="1"/>
      <c r="E79" s="1"/>
      <c r="F79" s="1"/>
    </row>
    <row r="80" spans="2:6" ht="13">
      <c r="B80" s="1"/>
      <c r="C80" s="1"/>
      <c r="D80" s="1"/>
      <c r="E80" s="1"/>
      <c r="F80" s="1"/>
    </row>
    <row r="81" spans="2:6" ht="13">
      <c r="B81" s="1"/>
      <c r="C81" s="1"/>
      <c r="D81" s="1"/>
      <c r="E81" s="1"/>
      <c r="F81" s="1"/>
    </row>
    <row r="82" spans="2:6" ht="13">
      <c r="B82" s="1"/>
      <c r="C82" s="1"/>
      <c r="D82" s="1"/>
      <c r="E82" s="1"/>
      <c r="F82" s="1"/>
    </row>
    <row r="83" spans="2:6" ht="13">
      <c r="B83" s="1"/>
      <c r="C83" s="1"/>
      <c r="D83" s="1"/>
      <c r="E83" s="1"/>
      <c r="F83" s="1"/>
    </row>
    <row r="84" spans="2:6" ht="13">
      <c r="B84" s="1"/>
      <c r="C84" s="1"/>
      <c r="D84" s="1"/>
      <c r="E84" s="1"/>
      <c r="F84" s="1"/>
    </row>
    <row r="85" spans="2:6" ht="13">
      <c r="B85" s="1"/>
      <c r="C85" s="1"/>
      <c r="D85" s="1"/>
      <c r="E85" s="1"/>
      <c r="F85" s="1"/>
    </row>
    <row r="86" spans="2:6" ht="13">
      <c r="B86" s="1"/>
      <c r="C86" s="1"/>
      <c r="D86" s="1"/>
      <c r="E86" s="1"/>
      <c r="F86" s="1"/>
    </row>
    <row r="87" spans="2:6" ht="13">
      <c r="B87" s="1"/>
      <c r="C87" s="1"/>
      <c r="D87" s="1"/>
      <c r="E87" s="1"/>
      <c r="F87" s="1"/>
    </row>
    <row r="88" spans="2:6" ht="13">
      <c r="B88" s="1"/>
      <c r="C88" s="1"/>
      <c r="D88" s="1"/>
      <c r="E88" s="1"/>
      <c r="F88" s="1"/>
    </row>
    <row r="89" spans="2:6" ht="13">
      <c r="B89" s="1"/>
      <c r="C89" s="1"/>
      <c r="D89" s="1"/>
      <c r="E89" s="1"/>
      <c r="F89" s="1"/>
    </row>
    <row r="90" spans="2:6" ht="13">
      <c r="B90" s="1"/>
      <c r="C90" s="1"/>
      <c r="D90" s="1"/>
      <c r="E90" s="1"/>
      <c r="F90" s="1"/>
    </row>
    <row r="91" spans="2:6" ht="13">
      <c r="B91" s="1"/>
      <c r="C91" s="1"/>
      <c r="D91" s="1"/>
      <c r="E91" s="1"/>
      <c r="F91" s="1"/>
    </row>
    <row r="92" spans="2:6" ht="13">
      <c r="B92" s="1"/>
      <c r="C92" s="1"/>
      <c r="D92" s="1"/>
      <c r="E92" s="1"/>
      <c r="F92" s="1"/>
    </row>
    <row r="93" spans="2:6" ht="13">
      <c r="B93" s="1"/>
      <c r="C93" s="1"/>
      <c r="D93" s="1"/>
      <c r="E93" s="1"/>
      <c r="F93" s="1"/>
    </row>
    <row r="94" spans="2:6" ht="13">
      <c r="B94" s="1"/>
      <c r="C94" s="1"/>
      <c r="D94" s="1"/>
      <c r="E94" s="1"/>
      <c r="F94" s="1"/>
    </row>
    <row r="95" spans="2:6" ht="13">
      <c r="B95" s="1"/>
      <c r="C95" s="1"/>
      <c r="D95" s="1"/>
      <c r="E95" s="1"/>
      <c r="F95" s="1"/>
    </row>
    <row r="96" spans="2:6" ht="13">
      <c r="B96" s="1"/>
      <c r="C96" s="1"/>
      <c r="D96" s="1"/>
      <c r="E96" s="1"/>
      <c r="F96" s="1"/>
    </row>
    <row r="97" spans="2:6" ht="13">
      <c r="B97" s="1"/>
      <c r="C97" s="1"/>
      <c r="D97" s="1"/>
      <c r="E97" s="1"/>
      <c r="F97" s="1"/>
    </row>
    <row r="98" spans="2:6" ht="13">
      <c r="B98" s="1"/>
      <c r="C98" s="1"/>
      <c r="D98" s="1"/>
      <c r="E98" s="1"/>
      <c r="F98" s="1"/>
    </row>
    <row r="99" spans="2:6" ht="13">
      <c r="B99" s="1"/>
      <c r="C99" s="1"/>
      <c r="D99" s="1"/>
      <c r="E99" s="1"/>
      <c r="F99" s="1"/>
    </row>
    <row r="100" spans="2:6" ht="13">
      <c r="B100" s="1"/>
      <c r="C100" s="1"/>
      <c r="D100" s="1"/>
      <c r="E100" s="1"/>
      <c r="F100" s="1"/>
    </row>
    <row r="101" spans="2:6" ht="13">
      <c r="B101" s="1"/>
      <c r="C101" s="1"/>
      <c r="D101" s="1"/>
      <c r="E101" s="1"/>
      <c r="F101" s="1"/>
    </row>
    <row r="102" spans="2:6" ht="13">
      <c r="B102" s="1"/>
      <c r="C102" s="1"/>
      <c r="D102" s="1"/>
      <c r="E102" s="1"/>
      <c r="F102" s="1"/>
    </row>
    <row r="103" spans="2:6" ht="13">
      <c r="B103" s="1"/>
      <c r="C103" s="1"/>
      <c r="D103" s="1"/>
      <c r="E103" s="1"/>
      <c r="F103" s="1"/>
    </row>
    <row r="104" spans="2:6" ht="13">
      <c r="B104" s="1"/>
      <c r="C104" s="1"/>
      <c r="D104" s="1"/>
      <c r="E104" s="1"/>
      <c r="F104" s="1"/>
    </row>
    <row r="105" spans="2:6" ht="13">
      <c r="B105" s="1"/>
      <c r="C105" s="1"/>
      <c r="D105" s="1"/>
      <c r="E105" s="1"/>
      <c r="F105" s="1"/>
    </row>
    <row r="106" spans="2:6" ht="13">
      <c r="B106" s="1"/>
      <c r="C106" s="1"/>
      <c r="D106" s="1"/>
      <c r="E106" s="1"/>
      <c r="F106" s="1"/>
    </row>
    <row r="107" spans="2:6" ht="13">
      <c r="B107" s="1"/>
      <c r="C107" s="1"/>
      <c r="D107" s="1"/>
      <c r="E107" s="1"/>
      <c r="F107" s="1"/>
    </row>
    <row r="108" spans="2:6" ht="13">
      <c r="B108" s="1"/>
      <c r="C108" s="1"/>
      <c r="D108" s="1"/>
      <c r="E108" s="1"/>
      <c r="F108" s="1"/>
    </row>
    <row r="109" spans="2:6" ht="13">
      <c r="B109" s="1"/>
      <c r="C109" s="1"/>
      <c r="D109" s="1"/>
      <c r="E109" s="1"/>
      <c r="F109" s="1"/>
    </row>
    <row r="110" spans="2:6" ht="13">
      <c r="B110" s="1"/>
      <c r="C110" s="1"/>
      <c r="D110" s="1"/>
      <c r="E110" s="1"/>
      <c r="F110" s="1"/>
    </row>
    <row r="111" spans="2:6" ht="13">
      <c r="B111" s="1"/>
      <c r="C111" s="1"/>
      <c r="D111" s="1"/>
      <c r="E111" s="1"/>
      <c r="F111" s="1"/>
    </row>
    <row r="112" spans="2:6" ht="13">
      <c r="B112" s="1"/>
      <c r="C112" s="1"/>
      <c r="D112" s="1"/>
      <c r="E112" s="1"/>
      <c r="F112" s="1"/>
    </row>
    <row r="113" spans="2:6" ht="13">
      <c r="B113" s="1"/>
      <c r="C113" s="1"/>
      <c r="D113" s="1"/>
      <c r="E113" s="1"/>
      <c r="F113" s="1"/>
    </row>
    <row r="114" spans="2:6" ht="13">
      <c r="B114" s="1"/>
      <c r="C114" s="1"/>
      <c r="D114" s="1"/>
      <c r="E114" s="1"/>
      <c r="F114" s="1"/>
    </row>
    <row r="115" spans="2:6" ht="13">
      <c r="B115" s="1"/>
      <c r="C115" s="1"/>
      <c r="D115" s="1"/>
      <c r="E115" s="1"/>
      <c r="F115" s="1"/>
    </row>
    <row r="116" spans="2:6" ht="13">
      <c r="B116" s="1"/>
      <c r="C116" s="1"/>
      <c r="D116" s="1"/>
      <c r="E116" s="1"/>
      <c r="F116" s="1"/>
    </row>
    <row r="117" spans="2:6" ht="13">
      <c r="B117" s="1"/>
      <c r="C117" s="1"/>
      <c r="D117" s="1"/>
      <c r="E117" s="1"/>
      <c r="F117" s="1"/>
    </row>
    <row r="118" spans="2:6" ht="13">
      <c r="B118" s="1"/>
      <c r="C118" s="1"/>
      <c r="D118" s="1"/>
      <c r="E118" s="1"/>
      <c r="F118" s="1"/>
    </row>
    <row r="119" spans="2:6" ht="13">
      <c r="B119" s="1"/>
      <c r="C119" s="1"/>
      <c r="D119" s="1"/>
      <c r="E119" s="1"/>
      <c r="F119" s="1"/>
    </row>
    <row r="120" spans="2:6" ht="13">
      <c r="B120" s="1"/>
      <c r="C120" s="1"/>
      <c r="D120" s="1"/>
      <c r="E120" s="1"/>
      <c r="F120" s="1"/>
    </row>
    <row r="121" spans="2:6" ht="13">
      <c r="B121" s="1"/>
      <c r="C121" s="1"/>
      <c r="D121" s="1"/>
      <c r="E121" s="1"/>
      <c r="F121" s="1"/>
    </row>
    <row r="122" spans="2:6" ht="13">
      <c r="B122" s="1"/>
      <c r="C122" s="1"/>
      <c r="D122" s="1"/>
      <c r="E122" s="1"/>
      <c r="F122" s="1"/>
    </row>
    <row r="123" spans="2:6" ht="13">
      <c r="B123" s="1"/>
      <c r="C123" s="1"/>
      <c r="D123" s="1"/>
      <c r="E123" s="1"/>
      <c r="F123" s="1"/>
    </row>
    <row r="124" spans="2:6" ht="13">
      <c r="B124" s="1"/>
      <c r="C124" s="1"/>
      <c r="D124" s="1"/>
      <c r="E124" s="1"/>
      <c r="F124" s="1"/>
    </row>
    <row r="125" spans="2:6" ht="13">
      <c r="B125" s="1"/>
      <c r="C125" s="1"/>
      <c r="D125" s="1"/>
      <c r="E125" s="1"/>
      <c r="F125" s="1"/>
    </row>
    <row r="126" spans="2:6" ht="13">
      <c r="B126" s="1"/>
      <c r="C126" s="1"/>
      <c r="D126" s="1"/>
      <c r="E126" s="1"/>
      <c r="F126" s="1"/>
    </row>
    <row r="127" spans="2:6" ht="13">
      <c r="B127" s="1"/>
      <c r="C127" s="1"/>
      <c r="D127" s="1"/>
      <c r="E127" s="1"/>
      <c r="F127" s="1"/>
    </row>
    <row r="128" spans="2:6" ht="13">
      <c r="B128" s="1"/>
      <c r="C128" s="1"/>
      <c r="D128" s="1"/>
      <c r="E128" s="1"/>
      <c r="F128" s="1"/>
    </row>
    <row r="129" spans="2:6" ht="13">
      <c r="B129" s="1"/>
      <c r="C129" s="1"/>
      <c r="D129" s="1"/>
      <c r="E129" s="1"/>
      <c r="F129" s="1"/>
    </row>
    <row r="130" spans="2:6" ht="13">
      <c r="B130" s="1"/>
      <c r="C130" s="1"/>
      <c r="D130" s="1"/>
      <c r="E130" s="1"/>
      <c r="F130" s="1"/>
    </row>
    <row r="131" spans="2:6" ht="13">
      <c r="B131" s="1"/>
      <c r="C131" s="1"/>
      <c r="D131" s="1"/>
      <c r="E131" s="1"/>
      <c r="F131" s="1"/>
    </row>
    <row r="132" spans="2:6" ht="13">
      <c r="B132" s="1"/>
      <c r="C132" s="1"/>
      <c r="D132" s="1"/>
      <c r="E132" s="1"/>
      <c r="F132" s="1"/>
    </row>
    <row r="133" spans="2:6" ht="13">
      <c r="B133" s="1"/>
      <c r="C133" s="1"/>
      <c r="D133" s="1"/>
      <c r="E133" s="1"/>
      <c r="F133" s="1"/>
    </row>
    <row r="134" spans="2:6" ht="13">
      <c r="B134" s="1"/>
      <c r="C134" s="1"/>
      <c r="D134" s="1"/>
      <c r="E134" s="1"/>
      <c r="F134" s="1"/>
    </row>
    <row r="135" spans="2:6" ht="13">
      <c r="B135" s="1"/>
      <c r="C135" s="1"/>
      <c r="D135" s="1"/>
      <c r="E135" s="1"/>
      <c r="F135" s="1"/>
    </row>
    <row r="136" spans="2:6" ht="13">
      <c r="B136" s="1"/>
      <c r="C136" s="1"/>
      <c r="D136" s="1"/>
      <c r="E136" s="1"/>
      <c r="F136" s="1"/>
    </row>
    <row r="137" spans="2:6" ht="13">
      <c r="B137" s="1"/>
      <c r="C137" s="1"/>
      <c r="D137" s="1"/>
      <c r="E137" s="1"/>
      <c r="F137" s="1"/>
    </row>
    <row r="138" spans="2:6" ht="13">
      <c r="B138" s="1"/>
      <c r="C138" s="1"/>
      <c r="D138" s="1"/>
      <c r="E138" s="1"/>
      <c r="F138" s="1"/>
    </row>
    <row r="139" spans="2:6" ht="13">
      <c r="B139" s="1"/>
      <c r="C139" s="1"/>
      <c r="D139" s="1"/>
      <c r="E139" s="1"/>
      <c r="F139" s="1"/>
    </row>
    <row r="140" spans="2:6" ht="13">
      <c r="B140" s="1"/>
      <c r="C140" s="1"/>
      <c r="D140" s="1"/>
      <c r="E140" s="1"/>
      <c r="F140" s="1"/>
    </row>
    <row r="141" spans="2:6" ht="13">
      <c r="B141" s="1"/>
      <c r="C141" s="1"/>
      <c r="D141" s="1"/>
      <c r="E141" s="1"/>
      <c r="F141" s="1"/>
    </row>
    <row r="142" spans="2:6" ht="13">
      <c r="B142" s="1"/>
      <c r="C142" s="1"/>
      <c r="D142" s="1"/>
      <c r="E142" s="1"/>
      <c r="F142" s="1"/>
    </row>
    <row r="143" spans="2:6" ht="13">
      <c r="B143" s="1"/>
      <c r="C143" s="1"/>
      <c r="D143" s="1"/>
      <c r="E143" s="1"/>
      <c r="F143" s="1"/>
    </row>
    <row r="144" spans="2:6" ht="13">
      <c r="B144" s="1"/>
      <c r="C144" s="1"/>
      <c r="D144" s="1"/>
      <c r="E144" s="1"/>
      <c r="F144" s="1"/>
    </row>
    <row r="145" spans="2:6" ht="13">
      <c r="B145" s="1"/>
      <c r="C145" s="1"/>
      <c r="D145" s="1"/>
      <c r="E145" s="1"/>
      <c r="F145" s="1"/>
    </row>
    <row r="146" spans="2:6" ht="13">
      <c r="B146" s="1"/>
      <c r="C146" s="1"/>
      <c r="D146" s="1"/>
      <c r="E146" s="1"/>
      <c r="F146" s="1"/>
    </row>
    <row r="147" spans="2:6" ht="13">
      <c r="B147" s="1"/>
      <c r="C147" s="1"/>
      <c r="D147" s="1"/>
      <c r="E147" s="1"/>
      <c r="F147" s="1"/>
    </row>
    <row r="148" spans="2:6" ht="13">
      <c r="B148" s="1"/>
      <c r="C148" s="1"/>
      <c r="D148" s="1"/>
      <c r="E148" s="1"/>
      <c r="F148" s="1"/>
    </row>
    <row r="149" spans="2:6" ht="13">
      <c r="B149" s="1"/>
      <c r="C149" s="1"/>
      <c r="D149" s="1"/>
      <c r="E149" s="1"/>
      <c r="F149" s="1"/>
    </row>
    <row r="150" spans="2:6" ht="13">
      <c r="B150" s="1"/>
      <c r="C150" s="1"/>
      <c r="D150" s="1"/>
      <c r="E150" s="1"/>
      <c r="F150" s="1"/>
    </row>
    <row r="151" spans="2:6" ht="13">
      <c r="B151" s="1"/>
      <c r="C151" s="1"/>
      <c r="D151" s="1"/>
      <c r="E151" s="1"/>
      <c r="F151" s="1"/>
    </row>
    <row r="152" spans="2:6" ht="13">
      <c r="B152" s="1"/>
      <c r="C152" s="1"/>
      <c r="D152" s="1"/>
      <c r="E152" s="1"/>
      <c r="F152" s="1"/>
    </row>
    <row r="153" spans="2:6" ht="13">
      <c r="B153" s="1"/>
      <c r="C153" s="1"/>
      <c r="D153" s="1"/>
      <c r="E153" s="1"/>
      <c r="F153" s="1"/>
    </row>
    <row r="154" spans="2:6" ht="13">
      <c r="B154" s="1"/>
      <c r="C154" s="1"/>
      <c r="D154" s="1"/>
      <c r="E154" s="1"/>
      <c r="F154" s="1"/>
    </row>
    <row r="155" spans="2:6" ht="13">
      <c r="B155" s="1"/>
      <c r="C155" s="1"/>
      <c r="D155" s="1"/>
      <c r="E155" s="1"/>
      <c r="F155" s="1"/>
    </row>
    <row r="156" spans="2:6" ht="13">
      <c r="B156" s="1"/>
      <c r="C156" s="1"/>
      <c r="D156" s="1"/>
      <c r="E156" s="1"/>
      <c r="F156" s="1"/>
    </row>
    <row r="157" spans="2:6" ht="13">
      <c r="B157" s="1"/>
      <c r="C157" s="1"/>
      <c r="D157" s="1"/>
      <c r="E157" s="1"/>
      <c r="F157" s="1"/>
    </row>
    <row r="158" spans="2:6" ht="13">
      <c r="B158" s="1"/>
      <c r="C158" s="1"/>
      <c r="D158" s="1"/>
      <c r="E158" s="1"/>
      <c r="F158" s="1"/>
    </row>
    <row r="159" spans="2:6" ht="13">
      <c r="B159" s="1"/>
      <c r="C159" s="1"/>
      <c r="D159" s="1"/>
      <c r="E159" s="1"/>
      <c r="F159" s="1"/>
    </row>
    <row r="160" spans="2:6" ht="13">
      <c r="B160" s="1"/>
      <c r="C160" s="1"/>
      <c r="D160" s="1"/>
      <c r="E160" s="1"/>
      <c r="F160" s="1"/>
    </row>
    <row r="161" spans="2:6" ht="13">
      <c r="B161" s="1"/>
      <c r="C161" s="1"/>
      <c r="D161" s="1"/>
      <c r="E161" s="1"/>
      <c r="F161" s="1"/>
    </row>
    <row r="162" spans="2:6" ht="13">
      <c r="B162" s="1"/>
      <c r="C162" s="1"/>
      <c r="D162" s="1"/>
      <c r="E162" s="1"/>
      <c r="F162" s="1"/>
    </row>
    <row r="163" spans="2:6" ht="13">
      <c r="B163" s="1"/>
      <c r="C163" s="1"/>
      <c r="D163" s="1"/>
      <c r="E163" s="1"/>
      <c r="F163" s="1"/>
    </row>
    <row r="164" spans="2:6" ht="13">
      <c r="B164" s="1"/>
      <c r="C164" s="1"/>
      <c r="D164" s="1"/>
      <c r="E164" s="1"/>
      <c r="F164" s="1"/>
    </row>
    <row r="165" spans="2:6" ht="13">
      <c r="B165" s="1"/>
      <c r="C165" s="1"/>
      <c r="D165" s="1"/>
      <c r="E165" s="1"/>
      <c r="F165" s="1"/>
    </row>
    <row r="166" spans="2:6" ht="13">
      <c r="B166" s="1"/>
      <c r="C166" s="1"/>
      <c r="D166" s="1"/>
      <c r="E166" s="1"/>
      <c r="F166" s="1"/>
    </row>
    <row r="167" spans="2:6" ht="13">
      <c r="B167" s="1"/>
      <c r="C167" s="1"/>
      <c r="D167" s="1"/>
      <c r="E167" s="1"/>
      <c r="F167" s="1"/>
    </row>
    <row r="168" spans="2:6" ht="13">
      <c r="B168" s="1"/>
      <c r="C168" s="1"/>
      <c r="D168" s="1"/>
      <c r="E168" s="1"/>
      <c r="F168" s="1"/>
    </row>
    <row r="169" spans="2:6" ht="13">
      <c r="B169" s="1"/>
      <c r="C169" s="1"/>
      <c r="D169" s="1"/>
      <c r="E169" s="1"/>
      <c r="F169" s="1"/>
    </row>
    <row r="170" spans="2:6" ht="13">
      <c r="B170" s="1"/>
      <c r="C170" s="1"/>
      <c r="D170" s="1"/>
      <c r="E170" s="1"/>
      <c r="F170" s="1"/>
    </row>
    <row r="171" spans="2:6" ht="13">
      <c r="B171" s="1"/>
      <c r="C171" s="1"/>
      <c r="D171" s="1"/>
      <c r="E171" s="1"/>
      <c r="F171" s="1"/>
    </row>
    <row r="172" spans="2:6" ht="13">
      <c r="B172" s="1"/>
      <c r="C172" s="1"/>
      <c r="D172" s="1"/>
      <c r="E172" s="1"/>
      <c r="F172" s="1"/>
    </row>
    <row r="173" spans="2:6" ht="13">
      <c r="B173" s="1"/>
      <c r="C173" s="1"/>
      <c r="D173" s="1"/>
      <c r="E173" s="1"/>
      <c r="F173" s="1"/>
    </row>
    <row r="174" spans="2:6" ht="13">
      <c r="B174" s="1"/>
      <c r="C174" s="1"/>
      <c r="D174" s="1"/>
      <c r="E174" s="1"/>
      <c r="F174" s="1"/>
    </row>
    <row r="175" spans="2:6" ht="13">
      <c r="B175" s="1"/>
      <c r="C175" s="1"/>
      <c r="D175" s="1"/>
      <c r="E175" s="1"/>
      <c r="F175" s="1"/>
    </row>
    <row r="176" spans="2:6" ht="13">
      <c r="B176" s="1"/>
      <c r="C176" s="1"/>
      <c r="D176" s="1"/>
      <c r="E176" s="1"/>
      <c r="F176" s="1"/>
    </row>
    <row r="177" spans="2:6" ht="13">
      <c r="B177" s="1"/>
      <c r="C177" s="1"/>
      <c r="D177" s="1"/>
      <c r="E177" s="1"/>
      <c r="F177" s="1"/>
    </row>
    <row r="178" spans="2:6" ht="13">
      <c r="B178" s="1"/>
      <c r="C178" s="1"/>
      <c r="D178" s="1"/>
      <c r="E178" s="1"/>
      <c r="F178" s="1"/>
    </row>
    <row r="179" spans="2:6" ht="13">
      <c r="B179" s="1"/>
      <c r="C179" s="1"/>
      <c r="D179" s="1"/>
      <c r="E179" s="1"/>
      <c r="F179" s="1"/>
    </row>
    <row r="180" spans="2:6" ht="13">
      <c r="B180" s="1"/>
      <c r="C180" s="1"/>
      <c r="D180" s="1"/>
      <c r="E180" s="1"/>
      <c r="F180" s="1"/>
    </row>
    <row r="181" spans="2:6" ht="13">
      <c r="B181" s="1"/>
      <c r="C181" s="1"/>
      <c r="D181" s="1"/>
      <c r="E181" s="1"/>
      <c r="F181" s="1"/>
    </row>
    <row r="182" spans="2:6" ht="13">
      <c r="B182" s="1"/>
      <c r="C182" s="1"/>
      <c r="D182" s="1"/>
      <c r="E182" s="1"/>
      <c r="F182" s="1"/>
    </row>
    <row r="183" spans="2:6" ht="13">
      <c r="B183" s="1"/>
      <c r="C183" s="1"/>
      <c r="D183" s="1"/>
      <c r="E183" s="1"/>
      <c r="F183" s="1"/>
    </row>
    <row r="184" spans="2:6" ht="13">
      <c r="B184" s="1"/>
      <c r="C184" s="1"/>
      <c r="D184" s="1"/>
      <c r="E184" s="1"/>
      <c r="F184" s="1"/>
    </row>
    <row r="185" spans="2:6" ht="13">
      <c r="B185" s="1"/>
      <c r="C185" s="1"/>
      <c r="D185" s="1"/>
      <c r="E185" s="1"/>
      <c r="F185" s="1"/>
    </row>
    <row r="186" spans="2:6" ht="13">
      <c r="B186" s="1"/>
      <c r="C186" s="1"/>
      <c r="D186" s="1"/>
      <c r="E186" s="1"/>
      <c r="F186" s="1"/>
    </row>
    <row r="187" spans="2:6" ht="13">
      <c r="B187" s="1"/>
      <c r="C187" s="1"/>
      <c r="D187" s="1"/>
      <c r="E187" s="1"/>
      <c r="F187" s="1"/>
    </row>
    <row r="188" spans="2:6" ht="13">
      <c r="B188" s="1"/>
      <c r="C188" s="1"/>
      <c r="D188" s="1"/>
      <c r="E188" s="1"/>
      <c r="F188" s="1"/>
    </row>
    <row r="189" spans="2:6" ht="13">
      <c r="B189" s="1"/>
      <c r="C189" s="1"/>
      <c r="D189" s="1"/>
      <c r="E189" s="1"/>
      <c r="F189" s="1"/>
    </row>
    <row r="190" spans="2:6" ht="13">
      <c r="B190" s="1"/>
      <c r="C190" s="1"/>
      <c r="D190" s="1"/>
      <c r="E190" s="1"/>
      <c r="F190" s="1"/>
    </row>
    <row r="191" spans="2:6" ht="13">
      <c r="B191" s="1"/>
      <c r="C191" s="1"/>
      <c r="D191" s="1"/>
      <c r="E191" s="1"/>
      <c r="F191" s="1"/>
    </row>
    <row r="192" spans="2:6" ht="13">
      <c r="B192" s="1"/>
      <c r="C192" s="1"/>
      <c r="D192" s="1"/>
      <c r="E192" s="1"/>
      <c r="F192" s="1"/>
    </row>
    <row r="193" spans="2:6" ht="13">
      <c r="B193" s="1"/>
      <c r="C193" s="1"/>
      <c r="D193" s="1"/>
      <c r="E193" s="1"/>
      <c r="F193" s="1"/>
    </row>
    <row r="194" spans="2:6" ht="13">
      <c r="B194" s="1"/>
      <c r="C194" s="1"/>
      <c r="D194" s="1"/>
      <c r="E194" s="1"/>
      <c r="F194" s="1"/>
    </row>
    <row r="195" spans="2:6" ht="13">
      <c r="B195" s="1"/>
      <c r="C195" s="1"/>
      <c r="D195" s="1"/>
      <c r="E195" s="1"/>
      <c r="F195" s="1"/>
    </row>
    <row r="196" spans="2:6" ht="13">
      <c r="B196" s="1"/>
      <c r="C196" s="1"/>
      <c r="D196" s="1"/>
      <c r="E196" s="1"/>
      <c r="F196" s="1"/>
    </row>
    <row r="197" spans="2:6" ht="13">
      <c r="B197" s="1"/>
      <c r="C197" s="1"/>
      <c r="D197" s="1"/>
      <c r="E197" s="1"/>
      <c r="F197" s="1"/>
    </row>
    <row r="198" spans="2:6" ht="13">
      <c r="B198" s="1"/>
      <c r="C198" s="1"/>
      <c r="D198" s="1"/>
      <c r="E198" s="1"/>
      <c r="F198" s="1"/>
    </row>
    <row r="199" spans="2:6" ht="13">
      <c r="B199" s="1"/>
      <c r="C199" s="1"/>
      <c r="D199" s="1"/>
      <c r="E199" s="1"/>
      <c r="F199" s="1"/>
    </row>
    <row r="200" spans="2:6" ht="13">
      <c r="B200" s="1"/>
      <c r="C200" s="1"/>
      <c r="D200" s="1"/>
      <c r="E200" s="1"/>
      <c r="F200" s="1"/>
    </row>
    <row r="201" spans="2:6" ht="13">
      <c r="B201" s="1"/>
      <c r="C201" s="1"/>
      <c r="D201" s="1"/>
      <c r="E201" s="1"/>
      <c r="F201" s="1"/>
    </row>
    <row r="202" spans="2:6" ht="13">
      <c r="B202" s="1"/>
      <c r="C202" s="1"/>
      <c r="D202" s="1"/>
      <c r="E202" s="1"/>
      <c r="F202" s="1"/>
    </row>
    <row r="203" spans="2:6" ht="13">
      <c r="B203" s="1"/>
      <c r="C203" s="1"/>
      <c r="D203" s="1"/>
      <c r="E203" s="1"/>
      <c r="F203" s="1"/>
    </row>
    <row r="204" spans="2:6" ht="13">
      <c r="B204" s="1"/>
      <c r="C204" s="1"/>
      <c r="D204" s="1"/>
      <c r="E204" s="1"/>
      <c r="F204" s="1"/>
    </row>
    <row r="205" spans="2:6" ht="13">
      <c r="B205" s="1"/>
      <c r="C205" s="1"/>
      <c r="D205" s="1"/>
      <c r="E205" s="1"/>
      <c r="F205" s="1"/>
    </row>
    <row r="206" spans="2:6" ht="13">
      <c r="B206" s="1"/>
      <c r="C206" s="1"/>
      <c r="D206" s="1"/>
      <c r="E206" s="1"/>
      <c r="F206" s="1"/>
    </row>
    <row r="207" spans="2:6" ht="13">
      <c r="B207" s="1"/>
      <c r="C207" s="1"/>
      <c r="D207" s="1"/>
      <c r="E207" s="1"/>
      <c r="F207" s="1"/>
    </row>
    <row r="208" spans="2:6" ht="13">
      <c r="B208" s="1"/>
      <c r="C208" s="1"/>
      <c r="D208" s="1"/>
      <c r="E208" s="1"/>
      <c r="F208" s="1"/>
    </row>
    <row r="209" spans="2:6" ht="13">
      <c r="B209" s="1"/>
      <c r="C209" s="1"/>
      <c r="D209" s="1"/>
      <c r="E209" s="1"/>
      <c r="F209" s="1"/>
    </row>
    <row r="210" spans="2:6" ht="13">
      <c r="B210" s="1"/>
      <c r="C210" s="1"/>
      <c r="D210" s="1"/>
      <c r="E210" s="1"/>
      <c r="F210" s="1"/>
    </row>
    <row r="211" spans="2:6" ht="13">
      <c r="B211" s="1"/>
      <c r="C211" s="1"/>
      <c r="D211" s="1"/>
      <c r="E211" s="1"/>
      <c r="F211" s="1"/>
    </row>
    <row r="212" spans="2:6" ht="13">
      <c r="B212" s="1"/>
      <c r="C212" s="1"/>
      <c r="D212" s="1"/>
      <c r="E212" s="1"/>
      <c r="F212" s="1"/>
    </row>
    <row r="213" spans="2:6" ht="13">
      <c r="B213" s="1"/>
      <c r="C213" s="1"/>
      <c r="D213" s="1"/>
      <c r="E213" s="1"/>
      <c r="F213" s="1"/>
    </row>
    <row r="214" spans="2:6" ht="13">
      <c r="B214" s="1"/>
      <c r="C214" s="1"/>
      <c r="D214" s="1"/>
      <c r="E214" s="1"/>
      <c r="F214" s="1"/>
    </row>
    <row r="215" spans="2:6" ht="13">
      <c r="B215" s="1"/>
      <c r="C215" s="1"/>
      <c r="D215" s="1"/>
      <c r="E215" s="1"/>
      <c r="F215" s="1"/>
    </row>
    <row r="216" spans="2:6" ht="13">
      <c r="B216" s="1"/>
      <c r="C216" s="1"/>
      <c r="D216" s="1"/>
      <c r="E216" s="1"/>
      <c r="F216" s="1"/>
    </row>
    <row r="217" spans="2:6" ht="13">
      <c r="B217" s="1"/>
      <c r="C217" s="1"/>
      <c r="D217" s="1"/>
      <c r="E217" s="1"/>
      <c r="F217" s="1"/>
    </row>
    <row r="218" spans="2:6" ht="13">
      <c r="B218" s="1"/>
      <c r="C218" s="1"/>
      <c r="D218" s="1"/>
      <c r="E218" s="1"/>
      <c r="F218" s="1"/>
    </row>
    <row r="219" spans="2:6" ht="13">
      <c r="B219" s="1"/>
      <c r="C219" s="1"/>
      <c r="D219" s="1"/>
      <c r="E219" s="1"/>
      <c r="F219" s="1"/>
    </row>
    <row r="220" spans="2:6" ht="13">
      <c r="B220" s="1"/>
      <c r="C220" s="1"/>
      <c r="D220" s="1"/>
      <c r="E220" s="1"/>
      <c r="F220" s="1"/>
    </row>
    <row r="221" spans="2:6" ht="13">
      <c r="B221" s="1"/>
      <c r="C221" s="1"/>
      <c r="D221" s="1"/>
      <c r="E221" s="1"/>
      <c r="F221" s="1"/>
    </row>
    <row r="222" spans="2:6" ht="13">
      <c r="B222" s="1"/>
      <c r="C222" s="1"/>
      <c r="D222" s="1"/>
      <c r="E222" s="1"/>
      <c r="F222" s="1"/>
    </row>
    <row r="223" spans="2:6" ht="13">
      <c r="B223" s="1"/>
      <c r="C223" s="1"/>
      <c r="D223" s="1"/>
      <c r="E223" s="1"/>
      <c r="F223" s="1"/>
    </row>
    <row r="224" spans="2:6" ht="13">
      <c r="B224" s="1"/>
      <c r="C224" s="1"/>
      <c r="D224" s="1"/>
      <c r="E224" s="1"/>
      <c r="F224" s="1"/>
    </row>
    <row r="225" spans="2:6" ht="13">
      <c r="B225" s="1"/>
      <c r="C225" s="1"/>
      <c r="D225" s="1"/>
      <c r="E225" s="1"/>
      <c r="F225" s="1"/>
    </row>
    <row r="226" spans="2:6" ht="13">
      <c r="B226" s="1"/>
      <c r="C226" s="1"/>
      <c r="D226" s="1"/>
      <c r="E226" s="1"/>
      <c r="F226" s="1"/>
    </row>
    <row r="227" spans="2:6" ht="13">
      <c r="B227" s="1"/>
      <c r="C227" s="1"/>
      <c r="D227" s="1"/>
      <c r="E227" s="1"/>
      <c r="F227" s="1"/>
    </row>
    <row r="228" spans="2:6" ht="13">
      <c r="B228" s="1"/>
      <c r="C228" s="1"/>
      <c r="D228" s="1"/>
      <c r="E228" s="1"/>
      <c r="F228" s="1"/>
    </row>
    <row r="229" spans="2:6" ht="13">
      <c r="B229" s="1"/>
      <c r="C229" s="1"/>
      <c r="D229" s="1"/>
      <c r="E229" s="1"/>
      <c r="F229" s="1"/>
    </row>
    <row r="230" spans="2:6" ht="13">
      <c r="B230" s="1"/>
      <c r="C230" s="1"/>
      <c r="D230" s="1"/>
      <c r="E230" s="1"/>
      <c r="F230" s="1"/>
    </row>
    <row r="231" spans="2:6" ht="13">
      <c r="B231" s="1"/>
      <c r="C231" s="1"/>
      <c r="D231" s="1"/>
      <c r="E231" s="1"/>
      <c r="F231" s="1"/>
    </row>
    <row r="232" spans="2:6" ht="13">
      <c r="B232" s="1"/>
      <c r="C232" s="1"/>
      <c r="D232" s="1"/>
      <c r="E232" s="1"/>
      <c r="F232" s="1"/>
    </row>
    <row r="233" spans="2:6" ht="13">
      <c r="B233" s="1"/>
      <c r="C233" s="1"/>
      <c r="D233" s="1"/>
      <c r="E233" s="1"/>
      <c r="F233" s="1"/>
    </row>
    <row r="234" spans="2:6" ht="13">
      <c r="B234" s="1"/>
      <c r="C234" s="1"/>
      <c r="D234" s="1"/>
      <c r="E234" s="1"/>
      <c r="F234" s="1"/>
    </row>
    <row r="235" spans="2:6" ht="13">
      <c r="B235" s="1"/>
      <c r="C235" s="1"/>
      <c r="D235" s="1"/>
      <c r="E235" s="1"/>
      <c r="F235" s="1"/>
    </row>
    <row r="236" spans="2:6" ht="13">
      <c r="B236" s="1"/>
      <c r="C236" s="1"/>
      <c r="D236" s="1"/>
      <c r="E236" s="1"/>
      <c r="F236" s="1"/>
    </row>
    <row r="237" spans="2:6" ht="13">
      <c r="B237" s="1"/>
      <c r="C237" s="1"/>
      <c r="D237" s="1"/>
      <c r="E237" s="1"/>
      <c r="F237" s="1"/>
    </row>
    <row r="238" spans="2:6" ht="13">
      <c r="B238" s="1"/>
      <c r="C238" s="1"/>
      <c r="D238" s="1"/>
      <c r="E238" s="1"/>
      <c r="F238" s="1"/>
    </row>
    <row r="239" spans="2:6" ht="13">
      <c r="B239" s="1"/>
      <c r="C239" s="1"/>
      <c r="D239" s="1"/>
      <c r="E239" s="1"/>
      <c r="F239" s="1"/>
    </row>
    <row r="240" spans="2:6" ht="13">
      <c r="B240" s="1"/>
      <c r="C240" s="1"/>
      <c r="D240" s="1"/>
      <c r="E240" s="1"/>
      <c r="F240" s="1"/>
    </row>
    <row r="241" spans="2:6" ht="13">
      <c r="B241" s="1"/>
      <c r="C241" s="1"/>
      <c r="D241" s="1"/>
      <c r="E241" s="1"/>
      <c r="F241" s="1"/>
    </row>
    <row r="242" spans="2:6" ht="13">
      <c r="B242" s="1"/>
      <c r="C242" s="1"/>
      <c r="D242" s="1"/>
      <c r="E242" s="1"/>
      <c r="F242" s="1"/>
    </row>
    <row r="243" spans="2:6" ht="13">
      <c r="B243" s="1"/>
      <c r="C243" s="1"/>
      <c r="D243" s="1"/>
      <c r="E243" s="1"/>
      <c r="F243" s="1"/>
    </row>
    <row r="244" spans="2:6" ht="13">
      <c r="B244" s="1"/>
      <c r="C244" s="1"/>
      <c r="D244" s="1"/>
      <c r="E244" s="1"/>
      <c r="F244" s="1"/>
    </row>
    <row r="245" spans="2:6" ht="13">
      <c r="B245" s="1"/>
      <c r="C245" s="1"/>
      <c r="D245" s="1"/>
      <c r="E245" s="1"/>
      <c r="F245" s="1"/>
    </row>
    <row r="246" spans="2:6" ht="13">
      <c r="B246" s="1"/>
      <c r="C246" s="1"/>
      <c r="D246" s="1"/>
      <c r="E246" s="1"/>
      <c r="F246" s="1"/>
    </row>
    <row r="247" spans="2:6" ht="13">
      <c r="B247" s="1"/>
      <c r="C247" s="1"/>
      <c r="D247" s="1"/>
      <c r="E247" s="1"/>
      <c r="F247" s="1"/>
    </row>
    <row r="248" spans="2:6" ht="13">
      <c r="B248" s="1"/>
      <c r="C248" s="1"/>
      <c r="D248" s="1"/>
      <c r="E248" s="1"/>
      <c r="F248" s="1"/>
    </row>
    <row r="249" spans="2:6" ht="13">
      <c r="B249" s="1"/>
      <c r="C249" s="1"/>
      <c r="D249" s="1"/>
      <c r="E249" s="1"/>
      <c r="F249" s="1"/>
    </row>
    <row r="250" spans="2:6" ht="13">
      <c r="B250" s="1"/>
      <c r="C250" s="1"/>
      <c r="D250" s="1"/>
      <c r="E250" s="1"/>
      <c r="F250" s="1"/>
    </row>
    <row r="251" spans="2:6" ht="13">
      <c r="B251" s="1"/>
      <c r="C251" s="1"/>
      <c r="D251" s="1"/>
      <c r="E251" s="1"/>
      <c r="F251" s="1"/>
    </row>
    <row r="252" spans="2:6" ht="13">
      <c r="B252" s="1"/>
      <c r="C252" s="1"/>
      <c r="D252" s="1"/>
      <c r="E252" s="1"/>
      <c r="F252" s="1"/>
    </row>
    <row r="253" spans="2:6" ht="13">
      <c r="B253" s="1"/>
      <c r="C253" s="1"/>
      <c r="D253" s="1"/>
      <c r="E253" s="1"/>
      <c r="F253" s="1"/>
    </row>
    <row r="254" spans="2:6" ht="13">
      <c r="B254" s="1"/>
      <c r="C254" s="1"/>
      <c r="D254" s="1"/>
      <c r="E254" s="1"/>
      <c r="F254" s="1"/>
    </row>
    <row r="255" spans="2:6" ht="13">
      <c r="B255" s="1"/>
      <c r="C255" s="1"/>
      <c r="D255" s="1"/>
      <c r="E255" s="1"/>
      <c r="F255" s="1"/>
    </row>
    <row r="256" spans="2:6" ht="13">
      <c r="B256" s="1"/>
      <c r="C256" s="1"/>
      <c r="D256" s="1"/>
      <c r="E256" s="1"/>
      <c r="F256" s="1"/>
    </row>
    <row r="257" spans="2:6" ht="13">
      <c r="B257" s="1"/>
      <c r="C257" s="1"/>
      <c r="D257" s="1"/>
      <c r="E257" s="1"/>
      <c r="F257" s="1"/>
    </row>
    <row r="258" spans="2:6" ht="13">
      <c r="B258" s="1"/>
      <c r="C258" s="1"/>
      <c r="D258" s="1"/>
      <c r="E258" s="1"/>
      <c r="F258" s="1"/>
    </row>
    <row r="259" spans="2:6" ht="13">
      <c r="B259" s="1"/>
      <c r="C259" s="1"/>
      <c r="D259" s="1"/>
      <c r="E259" s="1"/>
      <c r="F259" s="1"/>
    </row>
    <row r="260" spans="2:6" ht="13">
      <c r="B260" s="1"/>
      <c r="C260" s="1"/>
      <c r="D260" s="1"/>
      <c r="E260" s="1"/>
      <c r="F260" s="1"/>
    </row>
    <row r="261" spans="2:6" ht="13">
      <c r="B261" s="1"/>
      <c r="C261" s="1"/>
      <c r="D261" s="1"/>
      <c r="E261" s="1"/>
      <c r="F261" s="1"/>
    </row>
    <row r="262" spans="2:6" ht="13">
      <c r="B262" s="1"/>
      <c r="C262" s="1"/>
      <c r="D262" s="1"/>
      <c r="E262" s="1"/>
      <c r="F262" s="1"/>
    </row>
    <row r="263" spans="2:6" ht="13">
      <c r="B263" s="1"/>
      <c r="C263" s="1"/>
      <c r="D263" s="1"/>
      <c r="E263" s="1"/>
      <c r="F263" s="1"/>
    </row>
    <row r="264" spans="2:6" ht="13">
      <c r="B264" s="1"/>
      <c r="C264" s="1"/>
      <c r="D264" s="1"/>
      <c r="E264" s="1"/>
      <c r="F264" s="1"/>
    </row>
    <row r="265" spans="2:6" ht="13">
      <c r="B265" s="1"/>
      <c r="C265" s="1"/>
      <c r="D265" s="1"/>
      <c r="E265" s="1"/>
      <c r="F265" s="1"/>
    </row>
    <row r="266" spans="2:6" ht="13">
      <c r="B266" s="1"/>
      <c r="C266" s="1"/>
      <c r="D266" s="1"/>
      <c r="E266" s="1"/>
      <c r="F266" s="1"/>
    </row>
    <row r="267" spans="2:6" ht="13">
      <c r="B267" s="1"/>
      <c r="C267" s="1"/>
      <c r="D267" s="1"/>
      <c r="E267" s="1"/>
      <c r="F267" s="1"/>
    </row>
    <row r="268" spans="2:6" ht="13">
      <c r="B268" s="1"/>
      <c r="C268" s="1"/>
      <c r="D268" s="1"/>
      <c r="E268" s="1"/>
      <c r="F268" s="1"/>
    </row>
    <row r="269" spans="2:6" ht="13">
      <c r="B269" s="1"/>
      <c r="C269" s="1"/>
      <c r="D269" s="1"/>
      <c r="E269" s="1"/>
      <c r="F269" s="1"/>
    </row>
    <row r="270" spans="2:6" ht="13">
      <c r="B270" s="1"/>
      <c r="C270" s="1"/>
      <c r="D270" s="1"/>
      <c r="E270" s="1"/>
      <c r="F270" s="1"/>
    </row>
    <row r="271" spans="2:6" ht="13">
      <c r="B271" s="1"/>
      <c r="C271" s="1"/>
      <c r="D271" s="1"/>
      <c r="E271" s="1"/>
      <c r="F271" s="1"/>
    </row>
    <row r="272" spans="2:6" ht="13">
      <c r="B272" s="1"/>
      <c r="C272" s="1"/>
      <c r="D272" s="1"/>
      <c r="E272" s="1"/>
      <c r="F272" s="1"/>
    </row>
    <row r="273" spans="2:6" ht="13">
      <c r="B273" s="1"/>
      <c r="C273" s="1"/>
      <c r="D273" s="1"/>
      <c r="E273" s="1"/>
      <c r="F273" s="1"/>
    </row>
    <row r="274" spans="2:6" ht="13">
      <c r="B274" s="1"/>
      <c r="C274" s="1"/>
      <c r="D274" s="1"/>
      <c r="E274" s="1"/>
      <c r="F274" s="1"/>
    </row>
    <row r="275" spans="2:6" ht="13">
      <c r="B275" s="1"/>
      <c r="C275" s="1"/>
      <c r="D275" s="1"/>
      <c r="E275" s="1"/>
      <c r="F275" s="1"/>
    </row>
    <row r="276" spans="2:6" ht="13">
      <c r="B276" s="1"/>
      <c r="C276" s="1"/>
      <c r="D276" s="1"/>
      <c r="E276" s="1"/>
      <c r="F276" s="1"/>
    </row>
    <row r="277" spans="2:6" ht="13">
      <c r="B277" s="1"/>
      <c r="C277" s="1"/>
      <c r="D277" s="1"/>
      <c r="E277" s="1"/>
      <c r="F277" s="1"/>
    </row>
    <row r="278" spans="2:6" ht="13">
      <c r="B278" s="1"/>
      <c r="C278" s="1"/>
      <c r="D278" s="1"/>
      <c r="E278" s="1"/>
      <c r="F278" s="1"/>
    </row>
    <row r="279" spans="2:6" ht="13">
      <c r="B279" s="1"/>
      <c r="C279" s="1"/>
      <c r="D279" s="1"/>
      <c r="E279" s="1"/>
      <c r="F279" s="1"/>
    </row>
    <row r="280" spans="2:6" ht="13">
      <c r="B280" s="1"/>
      <c r="C280" s="1"/>
      <c r="D280" s="1"/>
      <c r="E280" s="1"/>
      <c r="F280" s="1"/>
    </row>
    <row r="281" spans="2:6" ht="13">
      <c r="B281" s="1"/>
      <c r="C281" s="1"/>
      <c r="D281" s="1"/>
      <c r="E281" s="1"/>
      <c r="F281" s="1"/>
    </row>
    <row r="282" spans="2:6" ht="13">
      <c r="B282" s="1"/>
      <c r="C282" s="1"/>
      <c r="D282" s="1"/>
      <c r="E282" s="1"/>
      <c r="F282" s="1"/>
    </row>
    <row r="283" spans="2:6" ht="13">
      <c r="B283" s="1"/>
      <c r="C283" s="1"/>
      <c r="D283" s="1"/>
      <c r="E283" s="1"/>
      <c r="F283" s="1"/>
    </row>
    <row r="284" spans="2:6" ht="13">
      <c r="B284" s="1"/>
      <c r="C284" s="1"/>
      <c r="D284" s="1"/>
      <c r="E284" s="1"/>
      <c r="F284" s="1"/>
    </row>
    <row r="285" spans="2:6" ht="13">
      <c r="B285" s="1"/>
      <c r="C285" s="1"/>
      <c r="D285" s="1"/>
      <c r="E285" s="1"/>
      <c r="F285" s="1"/>
    </row>
    <row r="286" spans="2:6" ht="13">
      <c r="B286" s="1"/>
      <c r="C286" s="1"/>
      <c r="D286" s="1"/>
      <c r="E286" s="1"/>
      <c r="F286" s="1"/>
    </row>
    <row r="287" spans="2:6" ht="13">
      <c r="B287" s="1"/>
      <c r="C287" s="1"/>
      <c r="D287" s="1"/>
      <c r="E287" s="1"/>
      <c r="F287" s="1"/>
    </row>
    <row r="288" spans="2:6" ht="13">
      <c r="B288" s="1"/>
      <c r="C288" s="1"/>
      <c r="D288" s="1"/>
      <c r="E288" s="1"/>
      <c r="F288" s="1"/>
    </row>
    <row r="289" spans="2:6" ht="13">
      <c r="B289" s="1"/>
      <c r="C289" s="1"/>
      <c r="D289" s="1"/>
      <c r="E289" s="1"/>
      <c r="F289" s="1"/>
    </row>
    <row r="290" spans="2:6" ht="13">
      <c r="B290" s="1"/>
      <c r="C290" s="1"/>
      <c r="D290" s="1"/>
      <c r="E290" s="1"/>
      <c r="F290" s="1"/>
    </row>
    <row r="291" spans="2:6" ht="13">
      <c r="B291" s="1"/>
      <c r="C291" s="1"/>
      <c r="D291" s="1"/>
      <c r="E291" s="1"/>
      <c r="F291" s="1"/>
    </row>
    <row r="292" spans="2:6" ht="13">
      <c r="B292" s="1"/>
      <c r="C292" s="1"/>
      <c r="D292" s="1"/>
      <c r="E292" s="1"/>
      <c r="F292" s="1"/>
    </row>
    <row r="293" spans="2:6" ht="13">
      <c r="B293" s="1"/>
      <c r="C293" s="1"/>
      <c r="D293" s="1"/>
      <c r="E293" s="1"/>
      <c r="F293" s="1"/>
    </row>
    <row r="294" spans="2:6" ht="13">
      <c r="B294" s="1"/>
      <c r="C294" s="1"/>
      <c r="D294" s="1"/>
      <c r="E294" s="1"/>
      <c r="F294" s="1"/>
    </row>
    <row r="295" spans="2:6" ht="13">
      <c r="B295" s="1"/>
      <c r="C295" s="1"/>
      <c r="D295" s="1"/>
      <c r="E295" s="1"/>
      <c r="F295" s="1"/>
    </row>
  </sheetData>
  <mergeCells count="17">
    <mergeCell ref="K13:P14"/>
    <mergeCell ref="K17:P17"/>
    <mergeCell ref="B1:H1"/>
    <mergeCell ref="B2:H2"/>
    <mergeCell ref="B3:H3"/>
    <mergeCell ref="B4:H4"/>
    <mergeCell ref="B5:D6"/>
    <mergeCell ref="E6:H6"/>
    <mergeCell ref="K7:P7"/>
    <mergeCell ref="K9:P9"/>
    <mergeCell ref="K10:P10"/>
    <mergeCell ref="K11:P12"/>
    <mergeCell ref="D39:H40"/>
    <mergeCell ref="K19:P20"/>
    <mergeCell ref="K21:P22"/>
    <mergeCell ref="K26:P26"/>
    <mergeCell ref="K27:P29"/>
  </mergeCells>
  <pageMargins left="0.35" right="0.26" top="0.53" bottom="0.48" header="0.5" footer="0.5"/>
  <pageSetup scale="70" orientation="portrait" r:id="rId1"/>
  <headerFooter alignWithMargins="0"/>
  <colBreaks count="1" manualBreakCount="1">
    <brk id="9" max="1048575" man="1"/>
  </colBreaks>
</worksheet>
</file>

<file path=xl/worksheets/sheet12.xml><?xml version="1.0" encoding="utf-8"?>
<worksheet xmlns="http://schemas.openxmlformats.org/spreadsheetml/2006/main" xmlns:r="http://schemas.openxmlformats.org/officeDocument/2006/relationships">
  <dimension ref="B1:O295"/>
  <sheetViews>
    <sheetView zoomScale="80" zoomScaleNormal="80" zoomScalePageLayoutView="86" workbookViewId="0">
      <selection activeCell="E29" sqref="E29"/>
    </sheetView>
  </sheetViews>
  <sheetFormatPr defaultRowHeight="12.5"/>
  <cols>
    <col min="1" max="1" width="4.1796875" customWidth="1"/>
    <col min="2" max="2" width="3.81640625" customWidth="1"/>
    <col min="3" max="3" width="1.1796875" customWidth="1"/>
    <col min="4" max="4" width="48.7265625" customWidth="1"/>
    <col min="5" max="5" width="19.7265625" customWidth="1"/>
    <col min="6" max="6" width="21" bestFit="1" customWidth="1"/>
    <col min="7" max="7" width="18.26953125" bestFit="1" customWidth="1"/>
    <col min="8" max="8" width="10" customWidth="1"/>
    <col min="14" max="14" width="29.7265625" customWidth="1"/>
  </cols>
  <sheetData>
    <row r="1" spans="2:15" ht="15.75" customHeight="1">
      <c r="B1" s="821" t="s">
        <v>306</v>
      </c>
      <c r="C1" s="822"/>
      <c r="D1" s="822"/>
      <c r="E1" s="822"/>
      <c r="F1" s="822"/>
      <c r="G1" s="822"/>
    </row>
    <row r="2" spans="2:15" ht="15.75" customHeight="1">
      <c r="B2" s="821" t="s">
        <v>37</v>
      </c>
      <c r="C2" s="822"/>
      <c r="D2" s="822"/>
      <c r="E2" s="822"/>
      <c r="F2" s="822"/>
      <c r="G2" s="822"/>
    </row>
    <row r="3" spans="2:15" ht="15.75" customHeight="1">
      <c r="B3" s="821" t="s">
        <v>249</v>
      </c>
      <c r="C3" s="822"/>
      <c r="D3" s="822"/>
      <c r="E3" s="822"/>
      <c r="F3" s="822"/>
      <c r="G3" s="822"/>
    </row>
    <row r="4" spans="2:15" ht="16.5" customHeight="1" thickBot="1">
      <c r="B4" s="823">
        <v>43327</v>
      </c>
      <c r="C4" s="824"/>
      <c r="D4" s="824"/>
      <c r="E4" s="824"/>
      <c r="F4" s="824"/>
      <c r="G4" s="824"/>
    </row>
    <row r="5" spans="2:15" s="183" customFormat="1" ht="40.5" customHeight="1" thickTop="1">
      <c r="B5" s="812"/>
      <c r="C5" s="813"/>
      <c r="D5" s="814"/>
      <c r="E5" s="732" t="s">
        <v>305</v>
      </c>
      <c r="F5" s="731" t="s">
        <v>272</v>
      </c>
      <c r="G5" s="629" t="s">
        <v>269</v>
      </c>
      <c r="H5" s="436" t="s">
        <v>155</v>
      </c>
      <c r="J5" s="250" t="s">
        <v>150</v>
      </c>
    </row>
    <row r="6" spans="2:15" s="183" customFormat="1" ht="19.75" customHeight="1">
      <c r="B6" s="815"/>
      <c r="C6" s="816"/>
      <c r="D6" s="817"/>
      <c r="E6" s="818" t="s">
        <v>23</v>
      </c>
      <c r="F6" s="819"/>
      <c r="G6" s="820"/>
      <c r="H6" s="710"/>
    </row>
    <row r="7" spans="2:15" s="183" customFormat="1" ht="33.65" customHeight="1" thickBot="1">
      <c r="B7" s="650">
        <v>1</v>
      </c>
      <c r="C7" s="651"/>
      <c r="D7" s="652" t="s">
        <v>235</v>
      </c>
      <c r="E7" s="733">
        <f>F27</f>
        <v>6597.6681599999993</v>
      </c>
      <c r="F7" s="725">
        <f>'Marketing Policy w Regulation'!E7</f>
        <v>7393.9719999999998</v>
      </c>
      <c r="G7" s="718">
        <f>'Marketing Policy w Regulation'!F7</f>
        <v>7393.9719999999998</v>
      </c>
      <c r="H7" s="435"/>
      <c r="I7" s="252"/>
      <c r="J7" s="811" t="s">
        <v>154</v>
      </c>
      <c r="K7" s="811"/>
      <c r="L7" s="811"/>
      <c r="M7" s="811"/>
      <c r="N7" s="811"/>
      <c r="O7" s="811"/>
    </row>
    <row r="8" spans="2:15" s="183" customFormat="1" ht="18">
      <c r="B8" s="262"/>
      <c r="C8" s="263"/>
      <c r="D8" s="437" t="s">
        <v>15</v>
      </c>
      <c r="E8" s="734"/>
      <c r="F8" s="726"/>
      <c r="G8" s="719"/>
      <c r="H8" s="433"/>
      <c r="J8" s="249"/>
      <c r="K8" s="248"/>
      <c r="L8" s="248"/>
      <c r="M8" s="248"/>
      <c r="N8" s="248"/>
      <c r="O8" s="248"/>
    </row>
    <row r="9" spans="2:15" s="183" customFormat="1" ht="31.15" customHeight="1" thickBot="1">
      <c r="B9" s="438">
        <v>2</v>
      </c>
      <c r="C9" s="264"/>
      <c r="D9" s="439" t="s">
        <v>38</v>
      </c>
      <c r="E9" s="733">
        <f>F9*(1+H9)</f>
        <v>7961.875</v>
      </c>
      <c r="F9" s="725">
        <f>'Marketing Policy w Regulation'!E9</f>
        <v>7961.875</v>
      </c>
      <c r="G9" s="720">
        <f>'Marketing Policy w Regulation'!F9</f>
        <v>9237.5</v>
      </c>
      <c r="H9" s="254">
        <v>0</v>
      </c>
      <c r="I9" s="251"/>
      <c r="J9" s="810" t="s">
        <v>180</v>
      </c>
      <c r="K9" s="810"/>
      <c r="L9" s="810"/>
      <c r="M9" s="810"/>
      <c r="N9" s="810"/>
      <c r="O9" s="810"/>
    </row>
    <row r="10" spans="2:15" s="183" customFormat="1" ht="31.9" customHeight="1" thickBot="1">
      <c r="B10" s="438">
        <v>3</v>
      </c>
      <c r="C10" s="264"/>
      <c r="D10" s="439" t="s">
        <v>16</v>
      </c>
      <c r="E10" s="733">
        <f>F10*(1+H10)</f>
        <v>1766.8587500000001</v>
      </c>
      <c r="F10" s="725">
        <f>'Marketing Policy w Regulation'!E10</f>
        <v>1766.8587500000001</v>
      </c>
      <c r="G10" s="720">
        <f>'Marketing Policy w Regulation'!F10</f>
        <v>1766.8587500000001</v>
      </c>
      <c r="H10" s="254">
        <v>0</v>
      </c>
      <c r="I10" s="251"/>
      <c r="J10" s="810" t="s">
        <v>181</v>
      </c>
      <c r="K10" s="810"/>
      <c r="L10" s="810"/>
      <c r="M10" s="810"/>
      <c r="N10" s="810"/>
      <c r="O10" s="810"/>
    </row>
    <row r="11" spans="2:15" s="183" customFormat="1" ht="26.25" customHeight="1" thickBot="1">
      <c r="B11" s="438">
        <v>4</v>
      </c>
      <c r="C11" s="264"/>
      <c r="D11" s="439" t="s">
        <v>39</v>
      </c>
      <c r="E11" s="733">
        <f>(E9+E10)</f>
        <v>9728.7337499999994</v>
      </c>
      <c r="F11" s="727">
        <f>F10+F9</f>
        <v>9728.7337499999994</v>
      </c>
      <c r="G11" s="721">
        <f>G10+G9</f>
        <v>11004.358749999999</v>
      </c>
      <c r="H11" s="433"/>
      <c r="I11" s="251"/>
      <c r="J11" s="811" t="s">
        <v>182</v>
      </c>
      <c r="K11" s="811"/>
      <c r="L11" s="811"/>
      <c r="M11" s="811"/>
      <c r="N11" s="811"/>
      <c r="O11" s="811"/>
    </row>
    <row r="12" spans="2:15" s="183" customFormat="1" ht="18" customHeight="1">
      <c r="B12" s="438"/>
      <c r="C12" s="264"/>
      <c r="D12" s="439"/>
      <c r="E12" s="733"/>
      <c r="F12" s="727"/>
      <c r="G12" s="720"/>
      <c r="H12" s="433"/>
      <c r="J12" s="811"/>
      <c r="K12" s="811"/>
      <c r="L12" s="811"/>
      <c r="M12" s="811"/>
      <c r="N12" s="811"/>
      <c r="O12" s="811"/>
    </row>
    <row r="13" spans="2:15" s="183" customFormat="1" ht="15.65" customHeight="1" thickBot="1">
      <c r="B13" s="438">
        <v>5</v>
      </c>
      <c r="C13" s="264"/>
      <c r="D13" s="439" t="s">
        <v>17</v>
      </c>
      <c r="E13" s="733">
        <f>(E7+E11)</f>
        <v>16326.401909999999</v>
      </c>
      <c r="F13" s="727">
        <f>F7+F11</f>
        <v>17122.705750000001</v>
      </c>
      <c r="G13" s="721">
        <f>G7+G11</f>
        <v>18398.330750000001</v>
      </c>
      <c r="H13" s="433"/>
      <c r="I13" s="251"/>
      <c r="J13" s="811" t="s">
        <v>186</v>
      </c>
      <c r="K13" s="811"/>
      <c r="L13" s="811"/>
      <c r="M13" s="811"/>
      <c r="N13" s="811"/>
      <c r="O13" s="811"/>
    </row>
    <row r="14" spans="2:15" s="183" customFormat="1" ht="16.899999999999999" customHeight="1">
      <c r="B14" s="438"/>
      <c r="C14" s="264"/>
      <c r="D14" s="439"/>
      <c r="E14" s="733"/>
      <c r="F14" s="727"/>
      <c r="G14" s="720"/>
      <c r="H14" s="433"/>
      <c r="J14" s="811"/>
      <c r="K14" s="811"/>
      <c r="L14" s="811"/>
      <c r="M14" s="811"/>
      <c r="N14" s="811"/>
      <c r="O14" s="811"/>
    </row>
    <row r="15" spans="2:15" s="183" customFormat="1" ht="18">
      <c r="B15" s="262"/>
      <c r="C15" s="263"/>
      <c r="D15" s="437" t="s">
        <v>18</v>
      </c>
      <c r="E15" s="735"/>
      <c r="F15" s="728"/>
      <c r="G15" s="722"/>
      <c r="H15" s="434"/>
      <c r="J15" s="249"/>
      <c r="K15" s="248"/>
      <c r="L15" s="248"/>
      <c r="M15" s="248"/>
      <c r="N15" s="248"/>
      <c r="O15" s="248"/>
    </row>
    <row r="16" spans="2:15" s="183" customFormat="1" ht="18" thickBot="1">
      <c r="B16" s="438">
        <v>6</v>
      </c>
      <c r="C16" s="264"/>
      <c r="D16" s="439" t="s">
        <v>183</v>
      </c>
      <c r="E16" s="733">
        <f>0.02*E7</f>
        <v>131.95336319999998</v>
      </c>
      <c r="F16" s="727">
        <f>'Marketing Policy w Regulation'!E16</f>
        <v>147.87943999999999</v>
      </c>
      <c r="G16" s="720">
        <f>'Marketing Policy w Regulation'!F16</f>
        <v>147.87943999999999</v>
      </c>
      <c r="H16" s="433"/>
      <c r="I16" s="251"/>
      <c r="J16" s="249" t="s">
        <v>185</v>
      </c>
      <c r="K16" s="248"/>
      <c r="L16" s="248"/>
      <c r="M16" s="248"/>
      <c r="N16" s="248"/>
      <c r="O16" s="248"/>
    </row>
    <row r="17" spans="2:15" s="183" customFormat="1" ht="31.15" customHeight="1" thickBot="1">
      <c r="B17" s="438">
        <v>7</v>
      </c>
      <c r="C17" s="264"/>
      <c r="D17" s="439" t="s">
        <v>115</v>
      </c>
      <c r="E17" s="733">
        <f>(0.04*E11)</f>
        <v>389.14934999999997</v>
      </c>
      <c r="F17" s="727">
        <f>'Marketing Policy w Regulation'!E17</f>
        <v>389.14934999999997</v>
      </c>
      <c r="G17" s="720">
        <f>'Marketing Policy w Regulation'!F17</f>
        <v>440.17435</v>
      </c>
      <c r="H17" s="433"/>
      <c r="I17" s="251"/>
      <c r="J17" s="810" t="s">
        <v>184</v>
      </c>
      <c r="K17" s="810"/>
      <c r="L17" s="810"/>
      <c r="M17" s="810"/>
      <c r="N17" s="810"/>
      <c r="O17" s="810"/>
    </row>
    <row r="18" spans="2:15" s="183" customFormat="1" ht="11.9" customHeight="1">
      <c r="B18" s="438"/>
      <c r="C18" s="264"/>
      <c r="D18" s="439"/>
      <c r="E18" s="733"/>
      <c r="F18" s="727"/>
      <c r="G18" s="720"/>
      <c r="H18" s="433"/>
      <c r="J18" s="249"/>
      <c r="K18" s="248"/>
      <c r="L18" s="248"/>
      <c r="M18" s="248"/>
      <c r="N18" s="248"/>
      <c r="O18" s="248"/>
    </row>
    <row r="19" spans="2:15" s="183" customFormat="1" ht="16.149999999999999" customHeight="1" thickBot="1">
      <c r="B19" s="440">
        <v>8</v>
      </c>
      <c r="C19" s="432"/>
      <c r="D19" s="441" t="s">
        <v>40</v>
      </c>
      <c r="E19" s="736">
        <f>(E16+E17)</f>
        <v>521.10271319999993</v>
      </c>
      <c r="F19" s="729">
        <f>F17+F16</f>
        <v>537.02878999999996</v>
      </c>
      <c r="G19" s="723">
        <f>G16+G17</f>
        <v>588.05378999999994</v>
      </c>
      <c r="H19" s="433"/>
      <c r="I19" s="443"/>
      <c r="J19" s="811" t="s">
        <v>192</v>
      </c>
      <c r="K19" s="811"/>
      <c r="L19" s="811"/>
      <c r="M19" s="811"/>
      <c r="N19" s="811"/>
      <c r="O19" s="811"/>
    </row>
    <row r="20" spans="2:15" s="183" customFormat="1" ht="31.9" customHeight="1">
      <c r="B20" s="438"/>
      <c r="C20" s="264"/>
      <c r="D20" s="439"/>
      <c r="E20" s="733"/>
      <c r="F20" s="727"/>
      <c r="G20" s="720"/>
      <c r="H20" s="433"/>
      <c r="J20" s="811"/>
      <c r="K20" s="811"/>
      <c r="L20" s="811"/>
      <c r="M20" s="811"/>
      <c r="N20" s="811"/>
      <c r="O20" s="811"/>
    </row>
    <row r="21" spans="2:15" s="183" customFormat="1" ht="19.149999999999999" customHeight="1" thickBot="1">
      <c r="B21" s="438">
        <v>9</v>
      </c>
      <c r="C21" s="264"/>
      <c r="D21" s="439" t="s">
        <v>19</v>
      </c>
      <c r="E21" s="733">
        <f>(E13-E19)</f>
        <v>15805.299196799999</v>
      </c>
      <c r="F21" s="727">
        <f>F13-F19</f>
        <v>16585.676960000001</v>
      </c>
      <c r="G21" s="721">
        <f>G13-G19</f>
        <v>17810.276960000003</v>
      </c>
      <c r="H21" s="433"/>
      <c r="I21" s="251"/>
      <c r="J21" s="811" t="s">
        <v>187</v>
      </c>
      <c r="K21" s="811"/>
      <c r="L21" s="811"/>
      <c r="M21" s="811"/>
      <c r="N21" s="811"/>
      <c r="O21" s="811"/>
    </row>
    <row r="22" spans="2:15" s="183" customFormat="1" ht="15.65" customHeight="1">
      <c r="B22" s="438"/>
      <c r="C22" s="264"/>
      <c r="D22" s="439"/>
      <c r="E22" s="733"/>
      <c r="F22" s="727"/>
      <c r="G22" s="720"/>
      <c r="H22" s="433"/>
      <c r="J22" s="811"/>
      <c r="K22" s="811"/>
      <c r="L22" s="811"/>
      <c r="M22" s="811"/>
      <c r="N22" s="811"/>
      <c r="O22" s="811"/>
    </row>
    <row r="23" spans="2:15" s="183" customFormat="1" ht="18">
      <c r="B23" s="262" t="s">
        <v>20</v>
      </c>
      <c r="C23" s="263"/>
      <c r="D23" s="437" t="s">
        <v>21</v>
      </c>
      <c r="E23" s="735"/>
      <c r="F23" s="728"/>
      <c r="G23" s="722"/>
      <c r="H23" s="433"/>
      <c r="J23" s="249"/>
      <c r="K23" s="248"/>
      <c r="L23" s="248"/>
      <c r="M23" s="248"/>
      <c r="N23" s="248"/>
      <c r="O23" s="248"/>
    </row>
    <row r="24" spans="2:15" s="183" customFormat="1" ht="18" thickBot="1">
      <c r="B24" s="438">
        <v>10</v>
      </c>
      <c r="C24" s="264"/>
      <c r="D24" s="439" t="s">
        <v>41</v>
      </c>
      <c r="E24" s="733">
        <f>G24*(1+H24)</f>
        <v>329.94499999999999</v>
      </c>
      <c r="F24" s="727">
        <f>'Marketing Policy w Regulation'!E24</f>
        <v>329.94499999999999</v>
      </c>
      <c r="G24" s="720">
        <f>'Marketing Policy w Regulation'!F24</f>
        <v>329.94499999999999</v>
      </c>
      <c r="H24" s="254">
        <v>0</v>
      </c>
      <c r="I24" s="251"/>
      <c r="J24" s="249" t="s">
        <v>188</v>
      </c>
      <c r="K24" s="248"/>
      <c r="L24" s="248"/>
      <c r="M24" s="248"/>
      <c r="N24" s="248"/>
      <c r="O24" s="248"/>
    </row>
    <row r="25" spans="2:15" s="183" customFormat="1" ht="18" thickBot="1">
      <c r="B25" s="438">
        <v>11</v>
      </c>
      <c r="C25" s="264"/>
      <c r="D25" s="439" t="s">
        <v>42</v>
      </c>
      <c r="E25" s="733">
        <f>G25*(1+H25)</f>
        <v>9658.0638000000017</v>
      </c>
      <c r="F25" s="727">
        <f>'Marketing Policy w Regulation'!E25</f>
        <v>9658.0638000000017</v>
      </c>
      <c r="G25" s="720">
        <f>'Marketing Policy w Regulation'!F25</f>
        <v>9658.0638000000017</v>
      </c>
      <c r="H25" s="254">
        <v>0</v>
      </c>
      <c r="I25" s="251"/>
      <c r="J25" s="249" t="s">
        <v>189</v>
      </c>
      <c r="K25" s="248"/>
      <c r="L25" s="248"/>
      <c r="M25" s="248"/>
      <c r="N25" s="248"/>
      <c r="O25" s="248"/>
    </row>
    <row r="26" spans="2:15" s="183" customFormat="1" ht="31.15" customHeight="1" thickBot="1">
      <c r="B26" s="438">
        <v>12</v>
      </c>
      <c r="C26" s="264"/>
      <c r="D26" s="439" t="s">
        <v>22</v>
      </c>
      <c r="E26" s="733">
        <f>E24+E25</f>
        <v>9988.0088000000014</v>
      </c>
      <c r="F26" s="727">
        <f>F24+F25</f>
        <v>9988.0088000000014</v>
      </c>
      <c r="G26" s="720">
        <f>G24+G25</f>
        <v>9988.0088000000014</v>
      </c>
      <c r="H26" s="433"/>
      <c r="I26" s="251"/>
      <c r="J26" s="810" t="s">
        <v>190</v>
      </c>
      <c r="K26" s="810"/>
      <c r="L26" s="810"/>
      <c r="M26" s="810"/>
      <c r="N26" s="810"/>
      <c r="O26" s="810"/>
    </row>
    <row r="27" spans="2:15" s="183" customFormat="1" ht="26.5" customHeight="1" thickBot="1">
      <c r="B27" s="438">
        <v>13</v>
      </c>
      <c r="C27" s="264"/>
      <c r="D27" s="439" t="s">
        <v>234</v>
      </c>
      <c r="E27" s="733">
        <f>(E21-E26)</f>
        <v>5817.2903967999973</v>
      </c>
      <c r="F27" s="727">
        <f>F21-F26</f>
        <v>6597.6681599999993</v>
      </c>
      <c r="G27" s="720">
        <f>'Marketing Policy w Regulation'!F27</f>
        <v>7822.2681600000014</v>
      </c>
      <c r="H27" s="433"/>
      <c r="I27" s="251"/>
      <c r="J27" s="811" t="s">
        <v>191</v>
      </c>
      <c r="K27" s="811"/>
      <c r="L27" s="811"/>
      <c r="M27" s="811"/>
      <c r="N27" s="811"/>
      <c r="O27" s="811"/>
    </row>
    <row r="28" spans="2:15" s="183" customFormat="1" ht="13.15" customHeight="1">
      <c r="B28" s="438"/>
      <c r="C28" s="264"/>
      <c r="D28" s="439"/>
      <c r="E28" s="733"/>
      <c r="F28" s="727"/>
      <c r="G28" s="720"/>
      <c r="H28" s="433"/>
      <c r="I28" s="185"/>
      <c r="J28" s="811"/>
      <c r="K28" s="811"/>
      <c r="L28" s="811"/>
      <c r="M28" s="811"/>
      <c r="N28" s="811"/>
      <c r="O28" s="811"/>
    </row>
    <row r="29" spans="2:15" s="183" customFormat="1" ht="17.5">
      <c r="B29" s="440">
        <v>14</v>
      </c>
      <c r="C29" s="432"/>
      <c r="D29" s="441" t="s">
        <v>156</v>
      </c>
      <c r="E29" s="737">
        <f>(E27/E26)</f>
        <v>0.5824274400719387</v>
      </c>
      <c r="F29" s="730">
        <f>F27/F26</f>
        <v>0.66055890539463669</v>
      </c>
      <c r="G29" s="724">
        <f>G27/G26</f>
        <v>0.78316592592509537</v>
      </c>
      <c r="H29" s="435"/>
      <c r="J29" s="811"/>
      <c r="K29" s="811"/>
      <c r="L29" s="811"/>
      <c r="M29" s="811"/>
      <c r="N29" s="811"/>
      <c r="O29" s="811"/>
    </row>
    <row r="30" spans="2:15" ht="17.5" hidden="1">
      <c r="B30" s="3">
        <v>14</v>
      </c>
      <c r="C30" s="3"/>
      <c r="D30" s="4" t="s">
        <v>43</v>
      </c>
      <c r="E30" s="2" t="s">
        <v>20</v>
      </c>
      <c r="F30" s="467"/>
      <c r="G30" s="2"/>
    </row>
    <row r="31" spans="2:15" ht="18" hidden="1" thickBot="1">
      <c r="B31" s="3"/>
      <c r="C31" s="3"/>
      <c r="D31" s="4"/>
      <c r="E31" s="2"/>
      <c r="F31" s="474" t="e">
        <f>(F29/F28)</f>
        <v>#DIV/0!</v>
      </c>
      <c r="G31" s="2"/>
    </row>
    <row r="32" spans="2:15" ht="13" hidden="1">
      <c r="B32" s="3">
        <v>15</v>
      </c>
      <c r="C32" s="3"/>
      <c r="D32" s="4" t="s">
        <v>62</v>
      </c>
      <c r="E32" s="2" t="e">
        <f>F27-E30</f>
        <v>#VALUE!</v>
      </c>
      <c r="F32" s="2"/>
      <c r="G32" s="2"/>
    </row>
    <row r="33" spans="2:7" ht="15.5">
      <c r="B33" s="17"/>
      <c r="C33" s="17"/>
      <c r="D33" s="17"/>
      <c r="E33" s="17"/>
      <c r="F33" s="1"/>
      <c r="G33" s="1"/>
    </row>
    <row r="34" spans="2:7" ht="18">
      <c r="B34" s="1"/>
      <c r="C34" s="1"/>
      <c r="D34" s="758"/>
      <c r="E34" s="269"/>
      <c r="F34" s="269"/>
    </row>
    <row r="56" spans="2:5" ht="13">
      <c r="B56" s="1"/>
      <c r="C56" s="1"/>
      <c r="D56" s="1"/>
      <c r="E56" s="1"/>
    </row>
    <row r="57" spans="2:5" ht="13">
      <c r="B57" s="1"/>
      <c r="C57" s="1"/>
      <c r="D57" s="1"/>
      <c r="E57" s="1"/>
    </row>
    <row r="58" spans="2:5" ht="13">
      <c r="B58" s="1"/>
      <c r="C58" s="1"/>
      <c r="D58" s="1"/>
      <c r="E58" s="1"/>
    </row>
    <row r="59" spans="2:5" ht="13">
      <c r="B59" s="1"/>
      <c r="C59" s="1"/>
      <c r="D59" s="1"/>
      <c r="E59" s="1"/>
    </row>
    <row r="60" spans="2:5" ht="13">
      <c r="B60" s="1"/>
      <c r="C60" s="1"/>
      <c r="D60" s="1"/>
      <c r="E60" s="1"/>
    </row>
    <row r="61" spans="2:5" ht="13">
      <c r="B61" s="1"/>
      <c r="C61" s="1"/>
      <c r="D61" s="1"/>
      <c r="E61" s="1"/>
    </row>
    <row r="62" spans="2:5" ht="13">
      <c r="B62" s="1"/>
      <c r="C62" s="1"/>
      <c r="D62" s="1"/>
      <c r="E62" s="1"/>
    </row>
    <row r="63" spans="2:5" ht="13">
      <c r="B63" s="1"/>
      <c r="C63" s="1"/>
      <c r="D63" s="1"/>
      <c r="E63" s="1"/>
    </row>
    <row r="64" spans="2:5" ht="13">
      <c r="B64" s="1"/>
      <c r="C64" s="1"/>
      <c r="D64" s="1"/>
      <c r="E64" s="1"/>
    </row>
    <row r="65" spans="2:5" ht="13">
      <c r="B65" s="1"/>
      <c r="C65" s="1"/>
      <c r="D65" s="1"/>
      <c r="E65" s="1"/>
    </row>
    <row r="66" spans="2:5" ht="13">
      <c r="B66" s="1"/>
      <c r="C66" s="1"/>
      <c r="D66" s="1"/>
      <c r="E66" s="1"/>
    </row>
    <row r="67" spans="2:5" ht="13">
      <c r="B67" s="1"/>
      <c r="C67" s="1"/>
      <c r="D67" s="1"/>
      <c r="E67" s="1"/>
    </row>
    <row r="68" spans="2:5" ht="13">
      <c r="B68" s="1"/>
      <c r="C68" s="1"/>
      <c r="D68" s="1"/>
      <c r="E68" s="1"/>
    </row>
    <row r="69" spans="2:5" ht="13">
      <c r="B69" s="1"/>
      <c r="C69" s="1"/>
      <c r="D69" s="1"/>
      <c r="E69" s="1"/>
    </row>
    <row r="70" spans="2:5" ht="13">
      <c r="B70" s="1"/>
      <c r="C70" s="1"/>
      <c r="D70" s="1"/>
      <c r="E70" s="1"/>
    </row>
    <row r="71" spans="2:5" ht="13">
      <c r="B71" s="1"/>
      <c r="C71" s="1"/>
      <c r="D71" s="1"/>
      <c r="E71" s="1"/>
    </row>
    <row r="72" spans="2:5" ht="13">
      <c r="B72" s="1"/>
      <c r="C72" s="1"/>
      <c r="D72" s="1"/>
      <c r="E72" s="1"/>
    </row>
    <row r="73" spans="2:5" ht="13">
      <c r="B73" s="1"/>
      <c r="C73" s="1"/>
      <c r="D73" s="1"/>
      <c r="E73" s="1"/>
    </row>
    <row r="74" spans="2:5" ht="13">
      <c r="B74" s="1"/>
      <c r="C74" s="1"/>
      <c r="D74" s="1"/>
      <c r="E74" s="1"/>
    </row>
    <row r="75" spans="2:5" ht="13">
      <c r="B75" s="1"/>
      <c r="C75" s="1"/>
      <c r="D75" s="1"/>
      <c r="E75" s="1"/>
    </row>
    <row r="76" spans="2:5" ht="13">
      <c r="B76" s="1"/>
      <c r="C76" s="1"/>
      <c r="D76" s="1"/>
      <c r="E76" s="1"/>
    </row>
    <row r="77" spans="2:5" ht="13">
      <c r="B77" s="1"/>
      <c r="C77" s="1"/>
      <c r="D77" s="1"/>
      <c r="E77" s="1"/>
    </row>
    <row r="78" spans="2:5" ht="13">
      <c r="B78" s="1"/>
      <c r="C78" s="1"/>
      <c r="D78" s="1"/>
      <c r="E78" s="1"/>
    </row>
    <row r="79" spans="2:5" ht="13">
      <c r="B79" s="1"/>
      <c r="C79" s="1"/>
      <c r="D79" s="1"/>
      <c r="E79" s="1"/>
    </row>
    <row r="80" spans="2:5" ht="13">
      <c r="B80" s="1"/>
      <c r="C80" s="1"/>
      <c r="D80" s="1"/>
      <c r="E80" s="1"/>
    </row>
    <row r="81" spans="2:5" ht="13">
      <c r="B81" s="1"/>
      <c r="C81" s="1"/>
      <c r="D81" s="1"/>
      <c r="E81" s="1"/>
    </row>
    <row r="82" spans="2:5" ht="13">
      <c r="B82" s="1"/>
      <c r="C82" s="1"/>
      <c r="D82" s="1"/>
      <c r="E82" s="1"/>
    </row>
    <row r="83" spans="2:5" ht="13">
      <c r="B83" s="1"/>
      <c r="C83" s="1"/>
      <c r="D83" s="1"/>
      <c r="E83" s="1"/>
    </row>
    <row r="84" spans="2:5" ht="13">
      <c r="B84" s="1"/>
      <c r="C84" s="1"/>
      <c r="D84" s="1"/>
      <c r="E84" s="1"/>
    </row>
    <row r="85" spans="2:5" ht="13">
      <c r="B85" s="1"/>
      <c r="C85" s="1"/>
      <c r="D85" s="1"/>
      <c r="E85" s="1"/>
    </row>
    <row r="86" spans="2:5" ht="13">
      <c r="B86" s="1"/>
      <c r="C86" s="1"/>
      <c r="D86" s="1"/>
      <c r="E86" s="1"/>
    </row>
    <row r="87" spans="2:5" ht="13">
      <c r="B87" s="1"/>
      <c r="C87" s="1"/>
      <c r="D87" s="1"/>
      <c r="E87" s="1"/>
    </row>
    <row r="88" spans="2:5" ht="13">
      <c r="B88" s="1"/>
      <c r="C88" s="1"/>
      <c r="D88" s="1"/>
      <c r="E88" s="1"/>
    </row>
    <row r="89" spans="2:5" ht="13">
      <c r="B89" s="1"/>
      <c r="C89" s="1"/>
      <c r="D89" s="1"/>
      <c r="E89" s="1"/>
    </row>
    <row r="90" spans="2:5" ht="13">
      <c r="B90" s="1"/>
      <c r="C90" s="1"/>
      <c r="D90" s="1"/>
      <c r="E90" s="1"/>
    </row>
    <row r="91" spans="2:5" ht="13">
      <c r="B91" s="1"/>
      <c r="C91" s="1"/>
      <c r="D91" s="1"/>
      <c r="E91" s="1"/>
    </row>
    <row r="92" spans="2:5" ht="13">
      <c r="B92" s="1"/>
      <c r="C92" s="1"/>
      <c r="D92" s="1"/>
      <c r="E92" s="1"/>
    </row>
    <row r="93" spans="2:5" ht="13">
      <c r="B93" s="1"/>
      <c r="C93" s="1"/>
      <c r="D93" s="1"/>
      <c r="E93" s="1"/>
    </row>
    <row r="94" spans="2:5" ht="13">
      <c r="B94" s="1"/>
      <c r="C94" s="1"/>
      <c r="D94" s="1"/>
      <c r="E94" s="1"/>
    </row>
    <row r="95" spans="2:5" ht="13">
      <c r="B95" s="1"/>
      <c r="C95" s="1"/>
      <c r="D95" s="1"/>
      <c r="E95" s="1"/>
    </row>
    <row r="96" spans="2:5" ht="13">
      <c r="B96" s="1"/>
      <c r="C96" s="1"/>
      <c r="D96" s="1"/>
      <c r="E96" s="1"/>
    </row>
    <row r="97" spans="2:5" ht="13">
      <c r="B97" s="1"/>
      <c r="C97" s="1"/>
      <c r="D97" s="1"/>
      <c r="E97" s="1"/>
    </row>
    <row r="98" spans="2:5" ht="13">
      <c r="B98" s="1"/>
      <c r="C98" s="1"/>
      <c r="D98" s="1"/>
      <c r="E98" s="1"/>
    </row>
    <row r="99" spans="2:5" ht="13">
      <c r="B99" s="1"/>
      <c r="C99" s="1"/>
      <c r="D99" s="1"/>
      <c r="E99" s="1"/>
    </row>
    <row r="100" spans="2:5" ht="13">
      <c r="B100" s="1"/>
      <c r="C100" s="1"/>
      <c r="D100" s="1"/>
      <c r="E100" s="1"/>
    </row>
    <row r="101" spans="2:5" ht="13">
      <c r="B101" s="1"/>
      <c r="C101" s="1"/>
      <c r="D101" s="1"/>
      <c r="E101" s="1"/>
    </row>
    <row r="102" spans="2:5" ht="13">
      <c r="B102" s="1"/>
      <c r="C102" s="1"/>
      <c r="D102" s="1"/>
      <c r="E102" s="1"/>
    </row>
    <row r="103" spans="2:5" ht="13">
      <c r="B103" s="1"/>
      <c r="C103" s="1"/>
      <c r="D103" s="1"/>
      <c r="E103" s="1"/>
    </row>
    <row r="104" spans="2:5" ht="13">
      <c r="B104" s="1"/>
      <c r="C104" s="1"/>
      <c r="D104" s="1"/>
      <c r="E104" s="1"/>
    </row>
    <row r="105" spans="2:5" ht="13">
      <c r="B105" s="1"/>
      <c r="C105" s="1"/>
      <c r="D105" s="1"/>
      <c r="E105" s="1"/>
    </row>
    <row r="106" spans="2:5" ht="13">
      <c r="B106" s="1"/>
      <c r="C106" s="1"/>
      <c r="D106" s="1"/>
      <c r="E106" s="1"/>
    </row>
    <row r="107" spans="2:5" ht="13">
      <c r="B107" s="1"/>
      <c r="C107" s="1"/>
      <c r="D107" s="1"/>
      <c r="E107" s="1"/>
    </row>
    <row r="108" spans="2:5" ht="13">
      <c r="B108" s="1"/>
      <c r="C108" s="1"/>
      <c r="D108" s="1"/>
      <c r="E108" s="1"/>
    </row>
    <row r="109" spans="2:5" ht="13">
      <c r="B109" s="1"/>
      <c r="C109" s="1"/>
      <c r="D109" s="1"/>
      <c r="E109" s="1"/>
    </row>
    <row r="110" spans="2:5" ht="13">
      <c r="B110" s="1"/>
      <c r="C110" s="1"/>
      <c r="D110" s="1"/>
      <c r="E110" s="1"/>
    </row>
    <row r="111" spans="2:5" ht="13">
      <c r="B111" s="1"/>
      <c r="C111" s="1"/>
      <c r="D111" s="1"/>
      <c r="E111" s="1"/>
    </row>
    <row r="112" spans="2:5" ht="13">
      <c r="B112" s="1"/>
      <c r="C112" s="1"/>
      <c r="D112" s="1"/>
      <c r="E112" s="1"/>
    </row>
    <row r="113" spans="2:5" ht="13">
      <c r="B113" s="1"/>
      <c r="C113" s="1"/>
      <c r="D113" s="1"/>
      <c r="E113" s="1"/>
    </row>
    <row r="114" spans="2:5" ht="13">
      <c r="B114" s="1"/>
      <c r="C114" s="1"/>
      <c r="D114" s="1"/>
      <c r="E114" s="1"/>
    </row>
    <row r="115" spans="2:5" ht="13">
      <c r="B115" s="1"/>
      <c r="C115" s="1"/>
      <c r="D115" s="1"/>
      <c r="E115" s="1"/>
    </row>
    <row r="116" spans="2:5" ht="13">
      <c r="B116" s="1"/>
      <c r="C116" s="1"/>
      <c r="D116" s="1"/>
      <c r="E116" s="1"/>
    </row>
    <row r="117" spans="2:5" ht="13">
      <c r="B117" s="1"/>
      <c r="C117" s="1"/>
      <c r="D117" s="1"/>
      <c r="E117" s="1"/>
    </row>
    <row r="118" spans="2:5" ht="13">
      <c r="B118" s="1"/>
      <c r="C118" s="1"/>
      <c r="D118" s="1"/>
      <c r="E118" s="1"/>
    </row>
    <row r="119" spans="2:5" ht="13">
      <c r="B119" s="1"/>
      <c r="C119" s="1"/>
      <c r="D119" s="1"/>
      <c r="E119" s="1"/>
    </row>
    <row r="120" spans="2:5" ht="13">
      <c r="B120" s="1"/>
      <c r="C120" s="1"/>
      <c r="D120" s="1"/>
      <c r="E120" s="1"/>
    </row>
    <row r="121" spans="2:5" ht="13">
      <c r="B121" s="1"/>
      <c r="C121" s="1"/>
      <c r="D121" s="1"/>
      <c r="E121" s="1"/>
    </row>
    <row r="122" spans="2:5" ht="13">
      <c r="B122" s="1"/>
      <c r="C122" s="1"/>
      <c r="D122" s="1"/>
      <c r="E122" s="1"/>
    </row>
    <row r="123" spans="2:5" ht="13">
      <c r="B123" s="1"/>
      <c r="C123" s="1"/>
      <c r="D123" s="1"/>
      <c r="E123" s="1"/>
    </row>
    <row r="124" spans="2:5" ht="13">
      <c r="B124" s="1"/>
      <c r="C124" s="1"/>
      <c r="D124" s="1"/>
      <c r="E124" s="1"/>
    </row>
    <row r="125" spans="2:5" ht="13">
      <c r="B125" s="1"/>
      <c r="C125" s="1"/>
      <c r="D125" s="1"/>
      <c r="E125" s="1"/>
    </row>
    <row r="126" spans="2:5" ht="13">
      <c r="B126" s="1"/>
      <c r="C126" s="1"/>
      <c r="D126" s="1"/>
      <c r="E126" s="1"/>
    </row>
    <row r="127" spans="2:5" ht="13">
      <c r="B127" s="1"/>
      <c r="C127" s="1"/>
      <c r="D127" s="1"/>
      <c r="E127" s="1"/>
    </row>
    <row r="128" spans="2:5" ht="13">
      <c r="B128" s="1"/>
      <c r="C128" s="1"/>
      <c r="D128" s="1"/>
      <c r="E128" s="1"/>
    </row>
    <row r="129" spans="2:5" ht="13">
      <c r="B129" s="1"/>
      <c r="C129" s="1"/>
      <c r="D129" s="1"/>
      <c r="E129" s="1"/>
    </row>
    <row r="130" spans="2:5" ht="13">
      <c r="B130" s="1"/>
      <c r="C130" s="1"/>
      <c r="D130" s="1"/>
      <c r="E130" s="1"/>
    </row>
    <row r="131" spans="2:5" ht="13">
      <c r="B131" s="1"/>
      <c r="C131" s="1"/>
      <c r="D131" s="1"/>
      <c r="E131" s="1"/>
    </row>
    <row r="132" spans="2:5" ht="13">
      <c r="B132" s="1"/>
      <c r="C132" s="1"/>
      <c r="D132" s="1"/>
      <c r="E132" s="1"/>
    </row>
    <row r="133" spans="2:5" ht="13">
      <c r="B133" s="1"/>
      <c r="C133" s="1"/>
      <c r="D133" s="1"/>
      <c r="E133" s="1"/>
    </row>
    <row r="134" spans="2:5" ht="13">
      <c r="B134" s="1"/>
      <c r="C134" s="1"/>
      <c r="D134" s="1"/>
      <c r="E134" s="1"/>
    </row>
    <row r="135" spans="2:5" ht="13">
      <c r="B135" s="1"/>
      <c r="C135" s="1"/>
      <c r="D135" s="1"/>
      <c r="E135" s="1"/>
    </row>
    <row r="136" spans="2:5" ht="13">
      <c r="B136" s="1"/>
      <c r="C136" s="1"/>
      <c r="D136" s="1"/>
      <c r="E136" s="1"/>
    </row>
    <row r="137" spans="2:5" ht="13">
      <c r="B137" s="1"/>
      <c r="C137" s="1"/>
      <c r="D137" s="1"/>
      <c r="E137" s="1"/>
    </row>
    <row r="138" spans="2:5" ht="13">
      <c r="B138" s="1"/>
      <c r="C138" s="1"/>
      <c r="D138" s="1"/>
      <c r="E138" s="1"/>
    </row>
    <row r="139" spans="2:5" ht="13">
      <c r="B139" s="1"/>
      <c r="C139" s="1"/>
      <c r="D139" s="1"/>
      <c r="E139" s="1"/>
    </row>
    <row r="140" spans="2:5" ht="13">
      <c r="B140" s="1"/>
      <c r="C140" s="1"/>
      <c r="D140" s="1"/>
      <c r="E140" s="1"/>
    </row>
    <row r="141" spans="2:5" ht="13">
      <c r="B141" s="1"/>
      <c r="C141" s="1"/>
      <c r="D141" s="1"/>
      <c r="E141" s="1"/>
    </row>
    <row r="142" spans="2:5" ht="13">
      <c r="B142" s="1"/>
      <c r="C142" s="1"/>
      <c r="D142" s="1"/>
      <c r="E142" s="1"/>
    </row>
    <row r="143" spans="2:5" ht="13">
      <c r="B143" s="1"/>
      <c r="C143" s="1"/>
      <c r="D143" s="1"/>
      <c r="E143" s="1"/>
    </row>
    <row r="144" spans="2:5" ht="13">
      <c r="B144" s="1"/>
      <c r="C144" s="1"/>
      <c r="D144" s="1"/>
      <c r="E144" s="1"/>
    </row>
    <row r="145" spans="2:5" ht="13">
      <c r="B145" s="1"/>
      <c r="C145" s="1"/>
      <c r="D145" s="1"/>
      <c r="E145" s="1"/>
    </row>
    <row r="146" spans="2:5" ht="13">
      <c r="B146" s="1"/>
      <c r="C146" s="1"/>
      <c r="D146" s="1"/>
      <c r="E146" s="1"/>
    </row>
    <row r="147" spans="2:5" ht="13">
      <c r="B147" s="1"/>
      <c r="C147" s="1"/>
      <c r="D147" s="1"/>
      <c r="E147" s="1"/>
    </row>
    <row r="148" spans="2:5" ht="13">
      <c r="B148" s="1"/>
      <c r="C148" s="1"/>
      <c r="D148" s="1"/>
      <c r="E148" s="1"/>
    </row>
    <row r="149" spans="2:5" ht="13">
      <c r="B149" s="1"/>
      <c r="C149" s="1"/>
      <c r="D149" s="1"/>
      <c r="E149" s="1"/>
    </row>
    <row r="150" spans="2:5" ht="13">
      <c r="B150" s="1"/>
      <c r="C150" s="1"/>
      <c r="D150" s="1"/>
      <c r="E150" s="1"/>
    </row>
    <row r="151" spans="2:5" ht="13">
      <c r="B151" s="1"/>
      <c r="C151" s="1"/>
      <c r="D151" s="1"/>
      <c r="E151" s="1"/>
    </row>
    <row r="152" spans="2:5" ht="13">
      <c r="B152" s="1"/>
      <c r="C152" s="1"/>
      <c r="D152" s="1"/>
      <c r="E152" s="1"/>
    </row>
    <row r="153" spans="2:5" ht="13">
      <c r="B153" s="1"/>
      <c r="C153" s="1"/>
      <c r="D153" s="1"/>
      <c r="E153" s="1"/>
    </row>
    <row r="154" spans="2:5" ht="13">
      <c r="B154" s="1"/>
      <c r="C154" s="1"/>
      <c r="D154" s="1"/>
      <c r="E154" s="1"/>
    </row>
    <row r="155" spans="2:5" ht="13">
      <c r="B155" s="1"/>
      <c r="C155" s="1"/>
      <c r="D155" s="1"/>
      <c r="E155" s="1"/>
    </row>
    <row r="156" spans="2:5" ht="13">
      <c r="B156" s="1"/>
      <c r="C156" s="1"/>
      <c r="D156" s="1"/>
      <c r="E156" s="1"/>
    </row>
    <row r="157" spans="2:5" ht="13">
      <c r="B157" s="1"/>
      <c r="C157" s="1"/>
      <c r="D157" s="1"/>
      <c r="E157" s="1"/>
    </row>
    <row r="158" spans="2:5" ht="13">
      <c r="B158" s="1"/>
      <c r="C158" s="1"/>
      <c r="D158" s="1"/>
      <c r="E158" s="1"/>
    </row>
    <row r="159" spans="2:5" ht="13">
      <c r="B159" s="1"/>
      <c r="C159" s="1"/>
      <c r="D159" s="1"/>
      <c r="E159" s="1"/>
    </row>
    <row r="160" spans="2:5" ht="13">
      <c r="B160" s="1"/>
      <c r="C160" s="1"/>
      <c r="D160" s="1"/>
      <c r="E160" s="1"/>
    </row>
    <row r="161" spans="2:5" ht="13">
      <c r="B161" s="1"/>
      <c r="C161" s="1"/>
      <c r="D161" s="1"/>
      <c r="E161" s="1"/>
    </row>
    <row r="162" spans="2:5" ht="13">
      <c r="B162" s="1"/>
      <c r="C162" s="1"/>
      <c r="D162" s="1"/>
      <c r="E162" s="1"/>
    </row>
    <row r="163" spans="2:5" ht="13">
      <c r="B163" s="1"/>
      <c r="C163" s="1"/>
      <c r="D163" s="1"/>
      <c r="E163" s="1"/>
    </row>
    <row r="164" spans="2:5" ht="13">
      <c r="B164" s="1"/>
      <c r="C164" s="1"/>
      <c r="D164" s="1"/>
      <c r="E164" s="1"/>
    </row>
    <row r="165" spans="2:5" ht="13">
      <c r="B165" s="1"/>
      <c r="C165" s="1"/>
      <c r="D165" s="1"/>
      <c r="E165" s="1"/>
    </row>
    <row r="166" spans="2:5" ht="13">
      <c r="B166" s="1"/>
      <c r="C166" s="1"/>
      <c r="D166" s="1"/>
      <c r="E166" s="1"/>
    </row>
    <row r="167" spans="2:5" ht="13">
      <c r="B167" s="1"/>
      <c r="C167" s="1"/>
      <c r="D167" s="1"/>
      <c r="E167" s="1"/>
    </row>
    <row r="168" spans="2:5" ht="13">
      <c r="B168" s="1"/>
      <c r="C168" s="1"/>
      <c r="D168" s="1"/>
      <c r="E168" s="1"/>
    </row>
    <row r="169" spans="2:5" ht="13">
      <c r="B169" s="1"/>
      <c r="C169" s="1"/>
      <c r="D169" s="1"/>
      <c r="E169" s="1"/>
    </row>
    <row r="170" spans="2:5" ht="13">
      <c r="B170" s="1"/>
      <c r="C170" s="1"/>
      <c r="D170" s="1"/>
      <c r="E170" s="1"/>
    </row>
    <row r="171" spans="2:5" ht="13">
      <c r="B171" s="1"/>
      <c r="C171" s="1"/>
      <c r="D171" s="1"/>
      <c r="E171" s="1"/>
    </row>
    <row r="172" spans="2:5" ht="13">
      <c r="B172" s="1"/>
      <c r="C172" s="1"/>
      <c r="D172" s="1"/>
      <c r="E172" s="1"/>
    </row>
    <row r="173" spans="2:5" ht="13">
      <c r="B173" s="1"/>
      <c r="C173" s="1"/>
      <c r="D173" s="1"/>
      <c r="E173" s="1"/>
    </row>
    <row r="174" spans="2:5" ht="13">
      <c r="B174" s="1"/>
      <c r="C174" s="1"/>
      <c r="D174" s="1"/>
      <c r="E174" s="1"/>
    </row>
    <row r="175" spans="2:5" ht="13">
      <c r="B175" s="1"/>
      <c r="C175" s="1"/>
      <c r="D175" s="1"/>
      <c r="E175" s="1"/>
    </row>
    <row r="176" spans="2:5" ht="13">
      <c r="B176" s="1"/>
      <c r="C176" s="1"/>
      <c r="D176" s="1"/>
      <c r="E176" s="1"/>
    </row>
    <row r="177" spans="2:5" ht="13">
      <c r="B177" s="1"/>
      <c r="C177" s="1"/>
      <c r="D177" s="1"/>
      <c r="E177" s="1"/>
    </row>
    <row r="178" spans="2:5" ht="13">
      <c r="B178" s="1"/>
      <c r="C178" s="1"/>
      <c r="D178" s="1"/>
      <c r="E178" s="1"/>
    </row>
    <row r="179" spans="2:5" ht="13">
      <c r="B179" s="1"/>
      <c r="C179" s="1"/>
      <c r="D179" s="1"/>
      <c r="E179" s="1"/>
    </row>
    <row r="180" spans="2:5" ht="13">
      <c r="B180" s="1"/>
      <c r="C180" s="1"/>
      <c r="D180" s="1"/>
      <c r="E180" s="1"/>
    </row>
    <row r="181" spans="2:5" ht="13">
      <c r="B181" s="1"/>
      <c r="C181" s="1"/>
      <c r="D181" s="1"/>
      <c r="E181" s="1"/>
    </row>
    <row r="182" spans="2:5" ht="13">
      <c r="B182" s="1"/>
      <c r="C182" s="1"/>
      <c r="D182" s="1"/>
      <c r="E182" s="1"/>
    </row>
    <row r="183" spans="2:5" ht="13">
      <c r="B183" s="1"/>
      <c r="C183" s="1"/>
      <c r="D183" s="1"/>
      <c r="E183" s="1"/>
    </row>
    <row r="184" spans="2:5" ht="13">
      <c r="B184" s="1"/>
      <c r="C184" s="1"/>
      <c r="D184" s="1"/>
      <c r="E184" s="1"/>
    </row>
    <row r="185" spans="2:5" ht="13">
      <c r="B185" s="1"/>
      <c r="C185" s="1"/>
      <c r="D185" s="1"/>
      <c r="E185" s="1"/>
    </row>
    <row r="186" spans="2:5" ht="13">
      <c r="B186" s="1"/>
      <c r="C186" s="1"/>
      <c r="D186" s="1"/>
      <c r="E186" s="1"/>
    </row>
    <row r="187" spans="2:5" ht="13">
      <c r="B187" s="1"/>
      <c r="C187" s="1"/>
      <c r="D187" s="1"/>
      <c r="E187" s="1"/>
    </row>
    <row r="188" spans="2:5" ht="13">
      <c r="B188" s="1"/>
      <c r="C188" s="1"/>
      <c r="D188" s="1"/>
      <c r="E188" s="1"/>
    </row>
    <row r="189" spans="2:5" ht="13">
      <c r="B189" s="1"/>
      <c r="C189" s="1"/>
      <c r="D189" s="1"/>
      <c r="E189" s="1"/>
    </row>
    <row r="190" spans="2:5" ht="13">
      <c r="B190" s="1"/>
      <c r="C190" s="1"/>
      <c r="D190" s="1"/>
      <c r="E190" s="1"/>
    </row>
    <row r="191" spans="2:5" ht="13">
      <c r="B191" s="1"/>
      <c r="C191" s="1"/>
      <c r="D191" s="1"/>
      <c r="E191" s="1"/>
    </row>
    <row r="192" spans="2:5" ht="13">
      <c r="B192" s="1"/>
      <c r="C192" s="1"/>
      <c r="D192" s="1"/>
      <c r="E192" s="1"/>
    </row>
    <row r="193" spans="2:5" ht="13">
      <c r="B193" s="1"/>
      <c r="C193" s="1"/>
      <c r="D193" s="1"/>
      <c r="E193" s="1"/>
    </row>
    <row r="194" spans="2:5" ht="13">
      <c r="B194" s="1"/>
      <c r="C194" s="1"/>
      <c r="D194" s="1"/>
      <c r="E194" s="1"/>
    </row>
    <row r="195" spans="2:5" ht="13">
      <c r="B195" s="1"/>
      <c r="C195" s="1"/>
      <c r="D195" s="1"/>
      <c r="E195" s="1"/>
    </row>
    <row r="196" spans="2:5" ht="13">
      <c r="B196" s="1"/>
      <c r="C196" s="1"/>
      <c r="D196" s="1"/>
      <c r="E196" s="1"/>
    </row>
    <row r="197" spans="2:5" ht="13">
      <c r="B197" s="1"/>
      <c r="C197" s="1"/>
      <c r="D197" s="1"/>
      <c r="E197" s="1"/>
    </row>
    <row r="198" spans="2:5" ht="13">
      <c r="B198" s="1"/>
      <c r="C198" s="1"/>
      <c r="D198" s="1"/>
      <c r="E198" s="1"/>
    </row>
    <row r="199" spans="2:5" ht="13">
      <c r="B199" s="1"/>
      <c r="C199" s="1"/>
      <c r="D199" s="1"/>
      <c r="E199" s="1"/>
    </row>
    <row r="200" spans="2:5" ht="13">
      <c r="B200" s="1"/>
      <c r="C200" s="1"/>
      <c r="D200" s="1"/>
      <c r="E200" s="1"/>
    </row>
    <row r="201" spans="2:5" ht="13">
      <c r="B201" s="1"/>
      <c r="C201" s="1"/>
      <c r="D201" s="1"/>
      <c r="E201" s="1"/>
    </row>
    <row r="202" spans="2:5" ht="13">
      <c r="B202" s="1"/>
      <c r="C202" s="1"/>
      <c r="D202" s="1"/>
      <c r="E202" s="1"/>
    </row>
    <row r="203" spans="2:5" ht="13">
      <c r="B203" s="1"/>
      <c r="C203" s="1"/>
      <c r="D203" s="1"/>
      <c r="E203" s="1"/>
    </row>
    <row r="204" spans="2:5" ht="13">
      <c r="B204" s="1"/>
      <c r="C204" s="1"/>
      <c r="D204" s="1"/>
      <c r="E204" s="1"/>
    </row>
    <row r="205" spans="2:5" ht="13">
      <c r="B205" s="1"/>
      <c r="C205" s="1"/>
      <c r="D205" s="1"/>
      <c r="E205" s="1"/>
    </row>
    <row r="206" spans="2:5" ht="13">
      <c r="B206" s="1"/>
      <c r="C206" s="1"/>
      <c r="D206" s="1"/>
      <c r="E206" s="1"/>
    </row>
    <row r="207" spans="2:5" ht="13">
      <c r="B207" s="1"/>
      <c r="C207" s="1"/>
      <c r="D207" s="1"/>
      <c r="E207" s="1"/>
    </row>
    <row r="208" spans="2:5" ht="13">
      <c r="B208" s="1"/>
      <c r="C208" s="1"/>
      <c r="D208" s="1"/>
      <c r="E208" s="1"/>
    </row>
    <row r="209" spans="2:5" ht="13">
      <c r="B209" s="1"/>
      <c r="C209" s="1"/>
      <c r="D209" s="1"/>
      <c r="E209" s="1"/>
    </row>
    <row r="210" spans="2:5" ht="13">
      <c r="B210" s="1"/>
      <c r="C210" s="1"/>
      <c r="D210" s="1"/>
      <c r="E210" s="1"/>
    </row>
    <row r="211" spans="2:5" ht="13">
      <c r="B211" s="1"/>
      <c r="C211" s="1"/>
      <c r="D211" s="1"/>
      <c r="E211" s="1"/>
    </row>
    <row r="212" spans="2:5" ht="13">
      <c r="B212" s="1"/>
      <c r="C212" s="1"/>
      <c r="D212" s="1"/>
      <c r="E212" s="1"/>
    </row>
    <row r="213" spans="2:5" ht="13">
      <c r="B213" s="1"/>
      <c r="C213" s="1"/>
      <c r="D213" s="1"/>
      <c r="E213" s="1"/>
    </row>
    <row r="214" spans="2:5" ht="13">
      <c r="B214" s="1"/>
      <c r="C214" s="1"/>
      <c r="D214" s="1"/>
      <c r="E214" s="1"/>
    </row>
    <row r="215" spans="2:5" ht="13">
      <c r="B215" s="1"/>
      <c r="C215" s="1"/>
      <c r="D215" s="1"/>
      <c r="E215" s="1"/>
    </row>
    <row r="216" spans="2:5" ht="13">
      <c r="B216" s="1"/>
      <c r="C216" s="1"/>
      <c r="D216" s="1"/>
      <c r="E216" s="1"/>
    </row>
    <row r="217" spans="2:5" ht="13">
      <c r="B217" s="1"/>
      <c r="C217" s="1"/>
      <c r="D217" s="1"/>
      <c r="E217" s="1"/>
    </row>
    <row r="218" spans="2:5" ht="13">
      <c r="B218" s="1"/>
      <c r="C218" s="1"/>
      <c r="D218" s="1"/>
      <c r="E218" s="1"/>
    </row>
    <row r="219" spans="2:5" ht="13">
      <c r="B219" s="1"/>
      <c r="C219" s="1"/>
      <c r="D219" s="1"/>
      <c r="E219" s="1"/>
    </row>
    <row r="220" spans="2:5" ht="13">
      <c r="B220" s="1"/>
      <c r="C220" s="1"/>
      <c r="D220" s="1"/>
      <c r="E220" s="1"/>
    </row>
    <row r="221" spans="2:5" ht="13">
      <c r="B221" s="1"/>
      <c r="C221" s="1"/>
      <c r="D221" s="1"/>
      <c r="E221" s="1"/>
    </row>
    <row r="222" spans="2:5" ht="13">
      <c r="B222" s="1"/>
      <c r="C222" s="1"/>
      <c r="D222" s="1"/>
      <c r="E222" s="1"/>
    </row>
    <row r="223" spans="2:5" ht="13">
      <c r="B223" s="1"/>
      <c r="C223" s="1"/>
      <c r="D223" s="1"/>
      <c r="E223" s="1"/>
    </row>
    <row r="224" spans="2:5" ht="13">
      <c r="B224" s="1"/>
      <c r="C224" s="1"/>
      <c r="D224" s="1"/>
      <c r="E224" s="1"/>
    </row>
    <row r="225" spans="2:5" ht="13">
      <c r="B225" s="1"/>
      <c r="C225" s="1"/>
      <c r="D225" s="1"/>
      <c r="E225" s="1"/>
    </row>
    <row r="226" spans="2:5" ht="13">
      <c r="B226" s="1"/>
      <c r="C226" s="1"/>
      <c r="D226" s="1"/>
      <c r="E226" s="1"/>
    </row>
    <row r="227" spans="2:5" ht="13">
      <c r="B227" s="1"/>
      <c r="C227" s="1"/>
      <c r="D227" s="1"/>
      <c r="E227" s="1"/>
    </row>
    <row r="228" spans="2:5" ht="13">
      <c r="B228" s="1"/>
      <c r="C228" s="1"/>
      <c r="D228" s="1"/>
      <c r="E228" s="1"/>
    </row>
    <row r="229" spans="2:5" ht="13">
      <c r="B229" s="1"/>
      <c r="C229" s="1"/>
      <c r="D229" s="1"/>
      <c r="E229" s="1"/>
    </row>
    <row r="230" spans="2:5" ht="13">
      <c r="B230" s="1"/>
      <c r="C230" s="1"/>
      <c r="D230" s="1"/>
      <c r="E230" s="1"/>
    </row>
    <row r="231" spans="2:5" ht="13">
      <c r="B231" s="1"/>
      <c r="C231" s="1"/>
      <c r="D231" s="1"/>
      <c r="E231" s="1"/>
    </row>
    <row r="232" spans="2:5" ht="13">
      <c r="B232" s="1"/>
      <c r="C232" s="1"/>
      <c r="D232" s="1"/>
      <c r="E232" s="1"/>
    </row>
    <row r="233" spans="2:5" ht="13">
      <c r="B233" s="1"/>
      <c r="C233" s="1"/>
      <c r="D233" s="1"/>
      <c r="E233" s="1"/>
    </row>
    <row r="234" spans="2:5" ht="13">
      <c r="B234" s="1"/>
      <c r="C234" s="1"/>
      <c r="D234" s="1"/>
      <c r="E234" s="1"/>
    </row>
    <row r="235" spans="2:5" ht="13">
      <c r="B235" s="1"/>
      <c r="C235" s="1"/>
      <c r="D235" s="1"/>
      <c r="E235" s="1"/>
    </row>
    <row r="236" spans="2:5" ht="13">
      <c r="B236" s="1"/>
      <c r="C236" s="1"/>
      <c r="D236" s="1"/>
      <c r="E236" s="1"/>
    </row>
    <row r="237" spans="2:5" ht="13">
      <c r="B237" s="1"/>
      <c r="C237" s="1"/>
      <c r="D237" s="1"/>
      <c r="E237" s="1"/>
    </row>
    <row r="238" spans="2:5" ht="13">
      <c r="B238" s="1"/>
      <c r="C238" s="1"/>
      <c r="D238" s="1"/>
      <c r="E238" s="1"/>
    </row>
    <row r="239" spans="2:5" ht="13">
      <c r="B239" s="1"/>
      <c r="C239" s="1"/>
      <c r="D239" s="1"/>
      <c r="E239" s="1"/>
    </row>
    <row r="240" spans="2:5" ht="13">
      <c r="B240" s="1"/>
      <c r="C240" s="1"/>
      <c r="D240" s="1"/>
      <c r="E240" s="1"/>
    </row>
    <row r="241" spans="2:5" ht="13">
      <c r="B241" s="1"/>
      <c r="C241" s="1"/>
      <c r="D241" s="1"/>
      <c r="E241" s="1"/>
    </row>
    <row r="242" spans="2:5" ht="13">
      <c r="B242" s="1"/>
      <c r="C242" s="1"/>
      <c r="D242" s="1"/>
      <c r="E242" s="1"/>
    </row>
    <row r="243" spans="2:5" ht="13">
      <c r="B243" s="1"/>
      <c r="C243" s="1"/>
      <c r="D243" s="1"/>
      <c r="E243" s="1"/>
    </row>
    <row r="244" spans="2:5" ht="13">
      <c r="B244" s="1"/>
      <c r="C244" s="1"/>
      <c r="D244" s="1"/>
      <c r="E244" s="1"/>
    </row>
    <row r="245" spans="2:5" ht="13">
      <c r="B245" s="1"/>
      <c r="C245" s="1"/>
      <c r="D245" s="1"/>
      <c r="E245" s="1"/>
    </row>
    <row r="246" spans="2:5" ht="13">
      <c r="B246" s="1"/>
      <c r="C246" s="1"/>
      <c r="D246" s="1"/>
      <c r="E246" s="1"/>
    </row>
    <row r="247" spans="2:5" ht="13">
      <c r="B247" s="1"/>
      <c r="C247" s="1"/>
      <c r="D247" s="1"/>
      <c r="E247" s="1"/>
    </row>
    <row r="248" spans="2:5" ht="13">
      <c r="B248" s="1"/>
      <c r="C248" s="1"/>
      <c r="D248" s="1"/>
      <c r="E248" s="1"/>
    </row>
    <row r="249" spans="2:5" ht="13">
      <c r="B249" s="1"/>
      <c r="C249" s="1"/>
      <c r="D249" s="1"/>
      <c r="E249" s="1"/>
    </row>
    <row r="250" spans="2:5" ht="13">
      <c r="B250" s="1"/>
      <c r="C250" s="1"/>
      <c r="D250" s="1"/>
      <c r="E250" s="1"/>
    </row>
    <row r="251" spans="2:5" ht="13">
      <c r="B251" s="1"/>
      <c r="C251" s="1"/>
      <c r="D251" s="1"/>
      <c r="E251" s="1"/>
    </row>
    <row r="252" spans="2:5" ht="13">
      <c r="B252" s="1"/>
      <c r="C252" s="1"/>
      <c r="D252" s="1"/>
      <c r="E252" s="1"/>
    </row>
    <row r="253" spans="2:5" ht="13">
      <c r="B253" s="1"/>
      <c r="C253" s="1"/>
      <c r="D253" s="1"/>
      <c r="E253" s="1"/>
    </row>
    <row r="254" spans="2:5" ht="13">
      <c r="B254" s="1"/>
      <c r="C254" s="1"/>
      <c r="D254" s="1"/>
      <c r="E254" s="1"/>
    </row>
    <row r="255" spans="2:5" ht="13">
      <c r="B255" s="1"/>
      <c r="C255" s="1"/>
      <c r="D255" s="1"/>
      <c r="E255" s="1"/>
    </row>
    <row r="256" spans="2:5" ht="13">
      <c r="B256" s="1"/>
      <c r="C256" s="1"/>
      <c r="D256" s="1"/>
      <c r="E256" s="1"/>
    </row>
    <row r="257" spans="2:5" ht="13">
      <c r="B257" s="1"/>
      <c r="C257" s="1"/>
      <c r="D257" s="1"/>
      <c r="E257" s="1"/>
    </row>
    <row r="258" spans="2:5" ht="13">
      <c r="B258" s="1"/>
      <c r="C258" s="1"/>
      <c r="D258" s="1"/>
      <c r="E258" s="1"/>
    </row>
    <row r="259" spans="2:5" ht="13">
      <c r="B259" s="1"/>
      <c r="C259" s="1"/>
      <c r="D259" s="1"/>
      <c r="E259" s="1"/>
    </row>
    <row r="260" spans="2:5" ht="13">
      <c r="B260" s="1"/>
      <c r="C260" s="1"/>
      <c r="D260" s="1"/>
      <c r="E260" s="1"/>
    </row>
    <row r="261" spans="2:5" ht="13">
      <c r="B261" s="1"/>
      <c r="C261" s="1"/>
      <c r="D261" s="1"/>
      <c r="E261" s="1"/>
    </row>
    <row r="262" spans="2:5" ht="13">
      <c r="B262" s="1"/>
      <c r="C262" s="1"/>
      <c r="D262" s="1"/>
      <c r="E262" s="1"/>
    </row>
    <row r="263" spans="2:5" ht="13">
      <c r="B263" s="1"/>
      <c r="C263" s="1"/>
      <c r="D263" s="1"/>
      <c r="E263" s="1"/>
    </row>
    <row r="264" spans="2:5" ht="13">
      <c r="B264" s="1"/>
      <c r="C264" s="1"/>
      <c r="D264" s="1"/>
      <c r="E264" s="1"/>
    </row>
    <row r="265" spans="2:5" ht="13">
      <c r="B265" s="1"/>
      <c r="C265" s="1"/>
      <c r="D265" s="1"/>
      <c r="E265" s="1"/>
    </row>
    <row r="266" spans="2:5" ht="13">
      <c r="B266" s="1"/>
      <c r="C266" s="1"/>
      <c r="D266" s="1"/>
      <c r="E266" s="1"/>
    </row>
    <row r="267" spans="2:5" ht="13">
      <c r="B267" s="1"/>
      <c r="C267" s="1"/>
      <c r="D267" s="1"/>
      <c r="E267" s="1"/>
    </row>
    <row r="268" spans="2:5" ht="13">
      <c r="B268" s="1"/>
      <c r="C268" s="1"/>
      <c r="D268" s="1"/>
      <c r="E268" s="1"/>
    </row>
    <row r="269" spans="2:5" ht="13">
      <c r="B269" s="1"/>
      <c r="C269" s="1"/>
      <c r="D269" s="1"/>
      <c r="E269" s="1"/>
    </row>
    <row r="270" spans="2:5" ht="13">
      <c r="B270" s="1"/>
      <c r="C270" s="1"/>
      <c r="D270" s="1"/>
      <c r="E270" s="1"/>
    </row>
    <row r="271" spans="2:5" ht="13">
      <c r="B271" s="1"/>
      <c r="C271" s="1"/>
      <c r="D271" s="1"/>
      <c r="E271" s="1"/>
    </row>
    <row r="272" spans="2:5" ht="13">
      <c r="B272" s="1"/>
      <c r="C272" s="1"/>
      <c r="D272" s="1"/>
      <c r="E272" s="1"/>
    </row>
    <row r="273" spans="2:5" ht="13">
      <c r="B273" s="1"/>
      <c r="C273" s="1"/>
      <c r="D273" s="1"/>
      <c r="E273" s="1"/>
    </row>
    <row r="274" spans="2:5" ht="13">
      <c r="B274" s="1"/>
      <c r="C274" s="1"/>
      <c r="D274" s="1"/>
      <c r="E274" s="1"/>
    </row>
    <row r="275" spans="2:5" ht="13">
      <c r="B275" s="1"/>
      <c r="C275" s="1"/>
      <c r="D275" s="1"/>
      <c r="E275" s="1"/>
    </row>
    <row r="276" spans="2:5" ht="13">
      <c r="B276" s="1"/>
      <c r="C276" s="1"/>
      <c r="D276" s="1"/>
      <c r="E276" s="1"/>
    </row>
    <row r="277" spans="2:5" ht="13">
      <c r="B277" s="1"/>
      <c r="C277" s="1"/>
      <c r="D277" s="1"/>
      <c r="E277" s="1"/>
    </row>
    <row r="278" spans="2:5" ht="13">
      <c r="B278" s="1"/>
      <c r="C278" s="1"/>
      <c r="D278" s="1"/>
      <c r="E278" s="1"/>
    </row>
    <row r="279" spans="2:5" ht="13">
      <c r="B279" s="1"/>
      <c r="C279" s="1"/>
      <c r="D279" s="1"/>
      <c r="E279" s="1"/>
    </row>
    <row r="280" spans="2:5" ht="13">
      <c r="B280" s="1"/>
      <c r="C280" s="1"/>
      <c r="D280" s="1"/>
      <c r="E280" s="1"/>
    </row>
    <row r="281" spans="2:5" ht="13">
      <c r="B281" s="1"/>
      <c r="C281" s="1"/>
      <c r="D281" s="1"/>
      <c r="E281" s="1"/>
    </row>
    <row r="282" spans="2:5" ht="13">
      <c r="B282" s="1"/>
      <c r="C282" s="1"/>
      <c r="D282" s="1"/>
      <c r="E282" s="1"/>
    </row>
    <row r="283" spans="2:5" ht="13">
      <c r="B283" s="1"/>
      <c r="C283" s="1"/>
      <c r="D283" s="1"/>
      <c r="E283" s="1"/>
    </row>
    <row r="284" spans="2:5" ht="13">
      <c r="B284" s="1"/>
      <c r="C284" s="1"/>
      <c r="D284" s="1"/>
      <c r="E284" s="1"/>
    </row>
    <row r="285" spans="2:5" ht="13">
      <c r="B285" s="1"/>
      <c r="C285" s="1"/>
      <c r="D285" s="1"/>
      <c r="E285" s="1"/>
    </row>
    <row r="286" spans="2:5" ht="13">
      <c r="B286" s="1"/>
      <c r="C286" s="1"/>
      <c r="D286" s="1"/>
      <c r="E286" s="1"/>
    </row>
    <row r="287" spans="2:5" ht="13">
      <c r="B287" s="1"/>
      <c r="C287" s="1"/>
      <c r="D287" s="1"/>
      <c r="E287" s="1"/>
    </row>
    <row r="288" spans="2:5" ht="13">
      <c r="B288" s="1"/>
      <c r="C288" s="1"/>
      <c r="D288" s="1"/>
      <c r="E288" s="1"/>
    </row>
    <row r="289" spans="2:5" ht="13">
      <c r="B289" s="1"/>
      <c r="C289" s="1"/>
      <c r="D289" s="1"/>
      <c r="E289" s="1"/>
    </row>
    <row r="290" spans="2:5" ht="13">
      <c r="B290" s="1"/>
      <c r="C290" s="1"/>
      <c r="D290" s="1"/>
      <c r="E290" s="1"/>
    </row>
    <row r="291" spans="2:5" ht="13">
      <c r="B291" s="1"/>
      <c r="C291" s="1"/>
      <c r="D291" s="1"/>
      <c r="E291" s="1"/>
    </row>
    <row r="292" spans="2:5" ht="13">
      <c r="B292" s="1"/>
      <c r="C292" s="1"/>
      <c r="D292" s="1"/>
      <c r="E292" s="1"/>
    </row>
    <row r="293" spans="2:5" ht="13">
      <c r="B293" s="1"/>
      <c r="C293" s="1"/>
      <c r="D293" s="1"/>
      <c r="E293" s="1"/>
    </row>
    <row r="294" spans="2:5" ht="13">
      <c r="B294" s="1"/>
      <c r="C294" s="1"/>
      <c r="D294" s="1"/>
      <c r="E294" s="1"/>
    </row>
    <row r="295" spans="2:5" ht="13">
      <c r="B295" s="1"/>
      <c r="C295" s="1"/>
      <c r="D295" s="1"/>
      <c r="E295" s="1"/>
    </row>
  </sheetData>
  <mergeCells count="16">
    <mergeCell ref="B1:G1"/>
    <mergeCell ref="B2:G2"/>
    <mergeCell ref="B3:G3"/>
    <mergeCell ref="B4:G4"/>
    <mergeCell ref="B5:D6"/>
    <mergeCell ref="E6:G6"/>
    <mergeCell ref="J19:O20"/>
    <mergeCell ref="J21:O22"/>
    <mergeCell ref="J26:O26"/>
    <mergeCell ref="J27:O29"/>
    <mergeCell ref="J7:O7"/>
    <mergeCell ref="J9:O9"/>
    <mergeCell ref="J10:O10"/>
    <mergeCell ref="J11:O12"/>
    <mergeCell ref="J13:O14"/>
    <mergeCell ref="J17:O17"/>
  </mergeCells>
  <pageMargins left="0.35" right="0.26" top="0.53" bottom="0.48" header="0.5" footer="0.5"/>
  <pageSetup scale="80" orientation="portrait" r:id="rId1"/>
  <headerFooter alignWithMargins="0"/>
  <colBreaks count="1" manualBreakCount="1">
    <brk id="8" max="1048575" man="1"/>
  </colBreaks>
</worksheet>
</file>

<file path=xl/worksheets/sheet13.xml><?xml version="1.0" encoding="utf-8"?>
<worksheet xmlns="http://schemas.openxmlformats.org/spreadsheetml/2006/main" xmlns:r="http://schemas.openxmlformats.org/officeDocument/2006/relationships">
  <dimension ref="A1:J17"/>
  <sheetViews>
    <sheetView topLeftCell="A2" zoomScale="115" zoomScaleNormal="115" workbookViewId="0">
      <selection activeCell="G17" sqref="G17"/>
    </sheetView>
  </sheetViews>
  <sheetFormatPr defaultRowHeight="12.5"/>
  <cols>
    <col min="1" max="1" width="35.7265625" customWidth="1"/>
    <col min="2" max="2" width="13.26953125" customWidth="1"/>
    <col min="3" max="3" width="13.1796875" customWidth="1"/>
    <col min="4" max="4" width="12" customWidth="1"/>
    <col min="5" max="5" width="12.26953125" customWidth="1"/>
  </cols>
  <sheetData>
    <row r="1" spans="1:10" ht="17.5">
      <c r="A1" s="832" t="s">
        <v>148</v>
      </c>
      <c r="B1" s="832"/>
      <c r="C1" s="832"/>
      <c r="D1" s="832"/>
      <c r="E1" s="832"/>
    </row>
    <row r="3" spans="1:10" ht="60">
      <c r="A3" s="6" t="s">
        <v>144</v>
      </c>
      <c r="B3" s="6" t="s">
        <v>151</v>
      </c>
      <c r="C3" s="6" t="s">
        <v>145</v>
      </c>
      <c r="D3" s="6" t="s">
        <v>34</v>
      </c>
      <c r="E3" s="6" t="s">
        <v>61</v>
      </c>
    </row>
    <row r="4" spans="1:10" ht="14">
      <c r="B4" s="833" t="s">
        <v>114</v>
      </c>
      <c r="C4" s="834"/>
      <c r="D4" s="834"/>
      <c r="E4" s="834"/>
    </row>
    <row r="5" spans="1:10" ht="14">
      <c r="A5" s="7" t="s">
        <v>146</v>
      </c>
      <c r="B5" s="8">
        <f>'Marketing Policy'!F9*1000</f>
        <v>8967499.9999999981</v>
      </c>
      <c r="C5" s="9">
        <f>(B5*0.96)+(('Marketing Policy'!F7*1000)*0.98)+(('Marketing Policy'!F10*1000)*0.96)</f>
        <v>18159519.681999996</v>
      </c>
      <c r="D5" s="10">
        <f>'Marketing Policy'!F26*1000</f>
        <v>10053233.280000001</v>
      </c>
      <c r="E5" s="10">
        <f t="shared" ref="E5:E10" si="0">C5-D5</f>
        <v>8106286.4019999951</v>
      </c>
    </row>
    <row r="6" spans="1:10" ht="14">
      <c r="A6" s="11">
        <v>1</v>
      </c>
      <c r="B6" s="8" t="e">
        <f>MIN((1*#REF!),C16)</f>
        <v>#REF!</v>
      </c>
      <c r="C6" s="9" t="e">
        <f>(B6*0.96)+(('Marketing Policy'!F7*1000)*0.98)+(('Marketing Policy'!F10*1000)*0.96)</f>
        <v>#REF!</v>
      </c>
      <c r="D6" s="10">
        <f>'Marketing Policy'!F26*1000</f>
        <v>10053233.280000001</v>
      </c>
      <c r="E6" s="10" t="e">
        <f t="shared" si="0"/>
        <v>#REF!</v>
      </c>
    </row>
    <row r="7" spans="1:10" ht="14">
      <c r="A7" s="11">
        <v>0.9</v>
      </c>
      <c r="B7" s="8" t="e">
        <f>MIN(0.9*B17,C16)</f>
        <v>#REF!</v>
      </c>
      <c r="C7" s="9" t="e">
        <f>(B7*0.96)+(('Marketing Policy'!F7*1000)*0.98)+(('Marketing Policy'!F10*1000)*0.96)</f>
        <v>#REF!</v>
      </c>
      <c r="D7" s="10">
        <f>'Marketing Policy'!F26*1000</f>
        <v>10053233.280000001</v>
      </c>
      <c r="E7" s="10" t="e">
        <f t="shared" si="0"/>
        <v>#REF!</v>
      </c>
      <c r="G7" t="s">
        <v>20</v>
      </c>
      <c r="H7" t="s">
        <v>20</v>
      </c>
      <c r="I7" t="s">
        <v>20</v>
      </c>
      <c r="J7" t="s">
        <v>20</v>
      </c>
    </row>
    <row r="8" spans="1:10" ht="14">
      <c r="A8" s="11">
        <v>0.8</v>
      </c>
      <c r="B8" s="8" t="e">
        <f>MIN(0.8*B17,C16)</f>
        <v>#REF!</v>
      </c>
      <c r="C8" s="9" t="e">
        <f>(B8*0.96)+(('Marketing Policy'!F7*1000)*0.98)+(('Marketing Policy'!F10*1000)*0.96)</f>
        <v>#REF!</v>
      </c>
      <c r="D8" s="10">
        <f>'Marketing Policy'!F26*1000</f>
        <v>10053233.280000001</v>
      </c>
      <c r="E8" s="10" t="e">
        <f t="shared" si="0"/>
        <v>#REF!</v>
      </c>
    </row>
    <row r="9" spans="1:10" ht="14">
      <c r="A9" s="11">
        <v>0.7</v>
      </c>
      <c r="B9" s="8" t="e">
        <f>MIN(0.7*B17,C16)</f>
        <v>#REF!</v>
      </c>
      <c r="C9" s="9" t="e">
        <f>(B9*0.96)+(('Marketing Policy'!F7*1000)*0.98)+(('Marketing Policy'!F10*1000)*0.96)</f>
        <v>#REF!</v>
      </c>
      <c r="D9" s="10">
        <f>'Marketing Policy'!F26*1000</f>
        <v>10053233.280000001</v>
      </c>
      <c r="E9" s="10" t="e">
        <f t="shared" si="0"/>
        <v>#REF!</v>
      </c>
    </row>
    <row r="10" spans="1:10" ht="14">
      <c r="A10" s="12">
        <v>0.6</v>
      </c>
      <c r="B10" s="8" t="e">
        <f>MIN(0.6*B17,C16)</f>
        <v>#REF!</v>
      </c>
      <c r="C10" s="9" t="e">
        <f>(B10*0.96)+(('Marketing Policy'!F7*1000)*0.98)+(('Marketing Policy'!F10*1000)*0.96)</f>
        <v>#REF!</v>
      </c>
      <c r="D10" s="10">
        <f>'Marketing Policy'!F26*1000</f>
        <v>10053233.280000001</v>
      </c>
      <c r="E10" s="10" t="e">
        <f t="shared" si="0"/>
        <v>#REF!</v>
      </c>
    </row>
    <row r="11" spans="1:10" ht="13">
      <c r="B11" s="5"/>
      <c r="D11" s="10" t="s">
        <v>20</v>
      </c>
    </row>
    <row r="12" spans="1:10" ht="14">
      <c r="A12" s="11" t="e">
        <f>#REF!/100</f>
        <v>#REF!</v>
      </c>
      <c r="B12" s="13" t="e">
        <f>MIN(#REF!,C16)</f>
        <v>#REF!</v>
      </c>
      <c r="C12" s="9" t="e">
        <f>(B12*0.96)+(('Marketing Policy'!F7*1000)*0.98)+(('Marketing Policy'!F10*1000)*0.96)</f>
        <v>#REF!</v>
      </c>
      <c r="D12" s="10">
        <f>'Marketing Policy'!F26*1000</f>
        <v>10053233.280000001</v>
      </c>
      <c r="E12" s="14" t="e">
        <f>C12-D12</f>
        <v>#REF!</v>
      </c>
    </row>
    <row r="15" spans="1:10" ht="13">
      <c r="A15" s="15" t="s">
        <v>147</v>
      </c>
      <c r="B15" s="15"/>
    </row>
    <row r="16" spans="1:10" ht="13">
      <c r="A16" s="15" t="s">
        <v>152</v>
      </c>
      <c r="C16" s="9">
        <f>'Marketing Policy'!F9*1000</f>
        <v>8967499.9999999981</v>
      </c>
      <c r="D16" s="15" t="s">
        <v>149</v>
      </c>
    </row>
    <row r="17" spans="1:2" ht="13">
      <c r="A17" s="15" t="s">
        <v>153</v>
      </c>
      <c r="B17" s="9" t="e">
        <f>#REF!</f>
        <v>#REF!</v>
      </c>
    </row>
  </sheetData>
  <mergeCells count="2">
    <mergeCell ref="A1:E1"/>
    <mergeCell ref="B4:E4"/>
  </mergeCells>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rgb="FFFF0000"/>
  </sheetPr>
  <dimension ref="A1:G32"/>
  <sheetViews>
    <sheetView zoomScale="130" zoomScaleNormal="130" workbookViewId="0">
      <selection activeCell="F8" sqref="F8"/>
    </sheetView>
  </sheetViews>
  <sheetFormatPr defaultRowHeight="12.5"/>
  <cols>
    <col min="1" max="1" width="10.453125" customWidth="1"/>
    <col min="2" max="7" width="14" customWidth="1"/>
  </cols>
  <sheetData>
    <row r="1" spans="1:7">
      <c r="A1" s="23" t="s">
        <v>0</v>
      </c>
      <c r="B1" s="453" t="s">
        <v>72</v>
      </c>
      <c r="C1" s="453" t="s">
        <v>73</v>
      </c>
      <c r="D1" s="453" t="s">
        <v>74</v>
      </c>
      <c r="E1" s="453" t="s">
        <v>75</v>
      </c>
      <c r="F1" s="453" t="s">
        <v>76</v>
      </c>
      <c r="G1" s="453" t="s">
        <v>208</v>
      </c>
    </row>
    <row r="2" spans="1:7">
      <c r="A2" s="452">
        <v>2000</v>
      </c>
      <c r="B2" s="372">
        <v>13900</v>
      </c>
      <c r="C2" s="372">
        <v>3700</v>
      </c>
      <c r="D2" s="372">
        <v>2400</v>
      </c>
      <c r="E2" s="372">
        <v>1500</v>
      </c>
      <c r="F2" s="372">
        <v>15100</v>
      </c>
      <c r="G2" s="372">
        <v>36600</v>
      </c>
    </row>
    <row r="3" spans="1:7">
      <c r="A3" s="452">
        <v>2001</v>
      </c>
      <c r="B3" s="372">
        <v>12000</v>
      </c>
      <c r="C3" s="372">
        <v>3100</v>
      </c>
      <c r="D3" s="372">
        <v>2400</v>
      </c>
      <c r="E3" s="372">
        <v>1600</v>
      </c>
      <c r="F3" s="372">
        <v>16500</v>
      </c>
      <c r="G3" s="372">
        <v>35600</v>
      </c>
    </row>
    <row r="4" spans="1:7">
      <c r="A4" s="452">
        <v>2002</v>
      </c>
      <c r="B4" s="372">
        <v>14500</v>
      </c>
      <c r="C4" s="372">
        <v>3100</v>
      </c>
      <c r="D4" s="372">
        <v>2800</v>
      </c>
      <c r="E4" s="372">
        <v>1700</v>
      </c>
      <c r="F4" s="372">
        <v>17300</v>
      </c>
      <c r="G4" s="372">
        <v>39400</v>
      </c>
    </row>
    <row r="5" spans="1:7">
      <c r="A5" s="452">
        <v>2003</v>
      </c>
      <c r="B5" s="372">
        <v>14400</v>
      </c>
      <c r="C5" s="372">
        <v>3200</v>
      </c>
      <c r="D5" s="372">
        <v>2900</v>
      </c>
      <c r="E5" s="372">
        <v>1700</v>
      </c>
      <c r="F5" s="372">
        <v>17400</v>
      </c>
      <c r="G5" s="372">
        <v>39600</v>
      </c>
    </row>
    <row r="6" spans="1:7">
      <c r="A6" s="452">
        <v>2004</v>
      </c>
      <c r="B6" s="372">
        <v>14100</v>
      </c>
      <c r="C6" s="372">
        <v>3100</v>
      </c>
      <c r="D6" s="372">
        <v>2900</v>
      </c>
      <c r="E6" s="372">
        <v>1700</v>
      </c>
      <c r="F6" s="372">
        <v>17400</v>
      </c>
      <c r="G6" s="372">
        <v>39200</v>
      </c>
    </row>
    <row r="7" spans="1:7">
      <c r="A7" s="452">
        <v>2005</v>
      </c>
      <c r="B7" s="372">
        <v>14100</v>
      </c>
      <c r="C7" s="372">
        <v>3100</v>
      </c>
      <c r="D7" s="372">
        <v>2700</v>
      </c>
      <c r="E7" s="372">
        <v>1700</v>
      </c>
      <c r="F7" s="372">
        <v>17400</v>
      </c>
      <c r="G7" s="372">
        <v>39000</v>
      </c>
    </row>
    <row r="8" spans="1:7">
      <c r="A8" s="452">
        <v>2006</v>
      </c>
      <c r="B8" s="372">
        <v>14000</v>
      </c>
      <c r="C8" s="372">
        <v>3100</v>
      </c>
      <c r="D8" s="372">
        <v>2700</v>
      </c>
      <c r="E8" s="372">
        <v>1700</v>
      </c>
      <c r="F8" s="372">
        <v>17500</v>
      </c>
      <c r="G8" s="372">
        <v>39000</v>
      </c>
    </row>
    <row r="9" spans="1:7">
      <c r="A9" s="452">
        <v>2007</v>
      </c>
      <c r="B9" s="372">
        <v>13000</v>
      </c>
      <c r="C9" s="372">
        <v>3100</v>
      </c>
      <c r="D9" s="372">
        <v>2700</v>
      </c>
      <c r="E9" s="372">
        <v>1700</v>
      </c>
      <c r="F9" s="372">
        <v>17600</v>
      </c>
      <c r="G9" s="372">
        <v>38100</v>
      </c>
    </row>
    <row r="10" spans="1:7">
      <c r="A10" s="452">
        <v>2008</v>
      </c>
      <c r="B10" s="372">
        <v>13000</v>
      </c>
      <c r="C10" s="372">
        <v>3100</v>
      </c>
      <c r="D10" s="372">
        <v>2700</v>
      </c>
      <c r="E10" s="372">
        <v>1700</v>
      </c>
      <c r="F10" s="372">
        <v>17700</v>
      </c>
      <c r="G10" s="372">
        <v>38200</v>
      </c>
    </row>
    <row r="11" spans="1:7">
      <c r="A11" s="452">
        <v>2009</v>
      </c>
      <c r="B11" s="372">
        <v>13000</v>
      </c>
      <c r="C11" s="372">
        <v>3100</v>
      </c>
      <c r="D11" s="372">
        <v>2700</v>
      </c>
      <c r="E11" s="372">
        <v>1700</v>
      </c>
      <c r="F11" s="372">
        <v>18000</v>
      </c>
      <c r="G11" s="372">
        <v>38500</v>
      </c>
    </row>
    <row r="12" spans="1:7">
      <c r="A12" s="452">
        <v>2010</v>
      </c>
      <c r="B12" s="372">
        <v>13000</v>
      </c>
      <c r="C12" s="372">
        <v>3000</v>
      </c>
      <c r="D12" s="372">
        <v>2700</v>
      </c>
      <c r="E12" s="372">
        <v>1700</v>
      </c>
      <c r="F12" s="372">
        <v>18000</v>
      </c>
      <c r="G12" s="372">
        <v>38500</v>
      </c>
    </row>
    <row r="13" spans="1:7">
      <c r="A13" s="452">
        <v>2011</v>
      </c>
      <c r="B13" s="372">
        <v>13000</v>
      </c>
      <c r="C13" s="372">
        <v>3000</v>
      </c>
      <c r="D13" s="372">
        <v>2800</v>
      </c>
      <c r="E13" s="372">
        <v>1700</v>
      </c>
      <c r="F13" s="372">
        <v>18000</v>
      </c>
      <c r="G13" s="372">
        <v>38500</v>
      </c>
    </row>
    <row r="14" spans="1:7">
      <c r="A14" s="452">
        <v>2012</v>
      </c>
      <c r="B14" s="372">
        <v>13000</v>
      </c>
      <c r="C14" s="372">
        <v>3000</v>
      </c>
      <c r="D14" s="372">
        <v>2900</v>
      </c>
      <c r="E14" s="372">
        <v>1700</v>
      </c>
      <c r="F14" s="372">
        <v>19700</v>
      </c>
      <c r="G14" s="372">
        <v>40300</v>
      </c>
    </row>
    <row r="15" spans="1:7">
      <c r="A15" s="452">
        <v>2013</v>
      </c>
      <c r="B15" s="372">
        <v>13200</v>
      </c>
      <c r="C15" s="372">
        <v>3000</v>
      </c>
      <c r="D15" s="372">
        <v>3000</v>
      </c>
      <c r="E15" s="372">
        <v>1700</v>
      </c>
      <c r="F15" s="372">
        <v>21100</v>
      </c>
      <c r="G15" s="372">
        <v>42000</v>
      </c>
    </row>
    <row r="16" spans="1:7">
      <c r="A16" s="452">
        <v>2014</v>
      </c>
      <c r="B16" s="372">
        <v>12400</v>
      </c>
      <c r="C16" s="372">
        <v>3000</v>
      </c>
      <c r="D16" s="372">
        <v>2900</v>
      </c>
      <c r="E16" s="372">
        <v>1600</v>
      </c>
      <c r="F16" s="372">
        <v>20700</v>
      </c>
      <c r="G16" s="372">
        <v>40600</v>
      </c>
    </row>
    <row r="17" spans="1:7">
      <c r="A17" s="452">
        <v>2015</v>
      </c>
      <c r="B17" s="372">
        <v>13200</v>
      </c>
      <c r="C17" s="372">
        <v>3000</v>
      </c>
      <c r="D17" s="372">
        <v>2900</v>
      </c>
      <c r="E17" s="372">
        <v>1600</v>
      </c>
      <c r="F17" s="372">
        <v>20200</v>
      </c>
      <c r="G17" s="372">
        <v>40900</v>
      </c>
    </row>
    <row r="18" spans="1:7">
      <c r="A18" s="555">
        <v>2016</v>
      </c>
      <c r="B18" s="372">
        <v>12900</v>
      </c>
      <c r="C18" s="372">
        <v>3100</v>
      </c>
      <c r="D18" s="372">
        <v>2800</v>
      </c>
      <c r="E18" s="372">
        <v>1600</v>
      </c>
      <c r="F18" s="372">
        <v>21100</v>
      </c>
      <c r="G18" s="372">
        <v>41500</v>
      </c>
    </row>
    <row r="19" spans="1:7">
      <c r="A19" s="627">
        <v>2017</v>
      </c>
      <c r="B19" s="372">
        <v>12300</v>
      </c>
      <c r="C19" s="372">
        <v>2500</v>
      </c>
      <c r="D19" s="372">
        <v>2800</v>
      </c>
      <c r="E19" s="372">
        <v>1500</v>
      </c>
      <c r="F19" s="372">
        <v>20600</v>
      </c>
      <c r="G19" s="372">
        <v>39700</v>
      </c>
    </row>
    <row r="20" spans="1:7">
      <c r="A20" s="289" t="s">
        <v>264</v>
      </c>
      <c r="B20" s="372">
        <v>12300</v>
      </c>
      <c r="C20" s="372">
        <v>2500</v>
      </c>
      <c r="D20" s="372">
        <v>2800</v>
      </c>
      <c r="E20" s="372">
        <v>1500</v>
      </c>
      <c r="F20" s="372">
        <v>20600</v>
      </c>
      <c r="G20" s="372">
        <v>39700</v>
      </c>
    </row>
    <row r="21" spans="1:7">
      <c r="A21" s="5"/>
    </row>
    <row r="22" spans="1:7" ht="13">
      <c r="A22" s="5"/>
      <c r="B22" s="289" t="s">
        <v>265</v>
      </c>
    </row>
    <row r="23" spans="1:7">
      <c r="A23" s="5"/>
      <c r="B23" s="289" t="s">
        <v>266</v>
      </c>
    </row>
    <row r="24" spans="1:7">
      <c r="A24" s="5"/>
      <c r="B24" s="5"/>
    </row>
    <row r="25" spans="1:7">
      <c r="A25" s="5"/>
      <c r="B25" s="5"/>
    </row>
    <row r="26" spans="1:7">
      <c r="A26" s="5"/>
      <c r="B26" s="5"/>
    </row>
    <row r="27" spans="1:7">
      <c r="B27" s="5"/>
    </row>
    <row r="28" spans="1:7">
      <c r="B28" s="5"/>
    </row>
    <row r="29" spans="1:7">
      <c r="B29" s="5"/>
    </row>
    <row r="30" spans="1:7">
      <c r="B30" s="5"/>
    </row>
    <row r="31" spans="1:7">
      <c r="B31" s="5"/>
    </row>
    <row r="32" spans="1:7">
      <c r="B32" s="5"/>
    </row>
  </sheetData>
  <pageMargins left="0.7" right="0.7" top="0.75" bottom="0.75" header="0.3" footer="0.3"/>
  <pageSetup orientation="portrait" r:id="rId1"/>
  <headerFooter>
    <oddHeader>&amp;LUS Acreage 2000 - 2018</oddHeader>
  </headerFooter>
</worksheet>
</file>

<file path=xl/worksheets/sheet3.xml><?xml version="1.0" encoding="utf-8"?>
<worksheet xmlns="http://schemas.openxmlformats.org/spreadsheetml/2006/main" xmlns:r="http://schemas.openxmlformats.org/officeDocument/2006/relationships">
  <sheetPr>
    <tabColor rgb="FFFF0000"/>
  </sheetPr>
  <dimension ref="A1:G23"/>
  <sheetViews>
    <sheetView zoomScale="140" zoomScaleNormal="140" zoomScalePageLayoutView="80" workbookViewId="0">
      <selection activeCell="A27" sqref="A27"/>
    </sheetView>
  </sheetViews>
  <sheetFormatPr defaultRowHeight="12.5"/>
  <cols>
    <col min="1" max="1" width="11.26953125" customWidth="1"/>
    <col min="2" max="7" width="14.26953125" customWidth="1"/>
  </cols>
  <sheetData>
    <row r="1" spans="1:7">
      <c r="A1" s="23" t="s">
        <v>0</v>
      </c>
      <c r="B1" s="453" t="s">
        <v>72</v>
      </c>
      <c r="C1" s="453" t="s">
        <v>73</v>
      </c>
      <c r="D1" s="453" t="s">
        <v>74</v>
      </c>
      <c r="E1" s="453" t="s">
        <v>75</v>
      </c>
      <c r="F1" s="453" t="s">
        <v>76</v>
      </c>
      <c r="G1" s="453" t="s">
        <v>208</v>
      </c>
    </row>
    <row r="2" spans="1:7">
      <c r="A2" s="452">
        <v>2000</v>
      </c>
      <c r="B2" s="416">
        <v>140.5</v>
      </c>
      <c r="C2" s="416">
        <v>132.19999999999999</v>
      </c>
      <c r="D2" s="416">
        <v>165.8</v>
      </c>
      <c r="E2" s="416">
        <v>120</v>
      </c>
      <c r="F2" s="416">
        <v>178.3</v>
      </c>
      <c r="G2" s="416">
        <v>156.1</v>
      </c>
    </row>
    <row r="3" spans="1:7">
      <c r="A3" s="452">
        <v>2001</v>
      </c>
      <c r="B3" s="416">
        <v>118</v>
      </c>
      <c r="C3" s="416">
        <v>182.6</v>
      </c>
      <c r="D3" s="416">
        <v>152.1</v>
      </c>
      <c r="E3" s="416">
        <v>88.8</v>
      </c>
      <c r="F3" s="416">
        <v>172.1</v>
      </c>
      <c r="G3" s="416">
        <v>149.69999999999999</v>
      </c>
    </row>
    <row r="4" spans="1:7">
      <c r="A4" s="452">
        <v>2002</v>
      </c>
      <c r="B4" s="416">
        <v>100.1</v>
      </c>
      <c r="C4" s="416">
        <v>138.69999999999999</v>
      </c>
      <c r="D4" s="416">
        <v>154.30000000000001</v>
      </c>
      <c r="E4" s="416">
        <v>98.2</v>
      </c>
      <c r="F4" s="416">
        <v>185.4</v>
      </c>
      <c r="G4" s="416">
        <v>144.4</v>
      </c>
    </row>
    <row r="5" spans="1:7">
      <c r="A5" s="452">
        <v>2003</v>
      </c>
      <c r="B5" s="416">
        <v>97.6</v>
      </c>
      <c r="C5" s="416">
        <v>150</v>
      </c>
      <c r="D5" s="416">
        <v>172.4</v>
      </c>
      <c r="E5" s="416">
        <v>111.8</v>
      </c>
      <c r="F5" s="416">
        <v>207.3</v>
      </c>
      <c r="G5" s="416">
        <v>156.1</v>
      </c>
    </row>
    <row r="6" spans="1:7">
      <c r="A6" s="452">
        <v>2004</v>
      </c>
      <c r="B6" s="416">
        <v>128.19999999999999</v>
      </c>
      <c r="C6" s="416">
        <v>129.69999999999999</v>
      </c>
      <c r="D6" s="416">
        <v>170.7</v>
      </c>
      <c r="E6" s="416">
        <v>100</v>
      </c>
      <c r="F6" s="416">
        <v>189.7</v>
      </c>
      <c r="G6" s="416">
        <v>157.5</v>
      </c>
    </row>
    <row r="7" spans="1:7">
      <c r="A7" s="452">
        <v>2005</v>
      </c>
      <c r="B7" s="416">
        <v>100.9</v>
      </c>
      <c r="C7" s="416">
        <v>171.9</v>
      </c>
      <c r="D7" s="416">
        <v>163</v>
      </c>
      <c r="E7" s="416">
        <v>110</v>
      </c>
      <c r="F7" s="416">
        <v>210.3</v>
      </c>
      <c r="G7" s="416">
        <v>160.1</v>
      </c>
    </row>
    <row r="8" spans="1:7">
      <c r="A8" s="452">
        <v>2006</v>
      </c>
      <c r="B8" s="416">
        <v>135.4</v>
      </c>
      <c r="C8" s="416">
        <v>156.5</v>
      </c>
      <c r="D8" s="416">
        <v>172.2</v>
      </c>
      <c r="E8" s="416">
        <v>67.099999999999994</v>
      </c>
      <c r="F8" s="416">
        <v>225.1</v>
      </c>
      <c r="G8" s="416">
        <v>176.9</v>
      </c>
    </row>
    <row r="9" spans="1:7">
      <c r="A9" s="452">
        <v>2007</v>
      </c>
      <c r="B9" s="416">
        <v>117.1</v>
      </c>
      <c r="C9" s="416">
        <v>171.3</v>
      </c>
      <c r="D9" s="416">
        <v>183.3</v>
      </c>
      <c r="E9" s="416">
        <v>103.5</v>
      </c>
      <c r="F9" s="416">
        <v>217.6</v>
      </c>
      <c r="G9" s="416">
        <v>172</v>
      </c>
    </row>
    <row r="10" spans="1:7">
      <c r="A10" s="452">
        <v>2008</v>
      </c>
      <c r="B10" s="416">
        <v>182.6</v>
      </c>
      <c r="C10" s="416">
        <v>165.2</v>
      </c>
      <c r="D10" s="416">
        <v>148.1</v>
      </c>
      <c r="E10" s="416">
        <v>64.099999999999994</v>
      </c>
      <c r="F10" s="416">
        <v>252.5</v>
      </c>
      <c r="G10" s="416">
        <v>205.9</v>
      </c>
    </row>
    <row r="11" spans="1:7">
      <c r="A11" s="452">
        <v>2009</v>
      </c>
      <c r="B11" s="416">
        <v>139.80000000000001</v>
      </c>
      <c r="C11" s="416">
        <v>179</v>
      </c>
      <c r="D11" s="416">
        <v>159.30000000000001</v>
      </c>
      <c r="E11" s="416">
        <v>94.7</v>
      </c>
      <c r="F11" s="416">
        <v>219.4</v>
      </c>
      <c r="G11" s="416">
        <v>179.6</v>
      </c>
    </row>
    <row r="12" spans="1:7">
      <c r="A12" s="452">
        <v>2010</v>
      </c>
      <c r="B12" s="416">
        <v>145.5</v>
      </c>
      <c r="C12" s="416">
        <v>181.3</v>
      </c>
      <c r="D12" s="416">
        <v>106.3</v>
      </c>
      <c r="E12" s="416">
        <v>63.6</v>
      </c>
      <c r="F12" s="416">
        <v>220</v>
      </c>
      <c r="G12" s="416">
        <v>176.8</v>
      </c>
    </row>
    <row r="13" spans="1:7">
      <c r="A13" s="452">
        <v>2011</v>
      </c>
      <c r="B13" s="416">
        <v>178.1</v>
      </c>
      <c r="C13" s="416">
        <v>170</v>
      </c>
      <c r="D13" s="416">
        <v>128.9</v>
      </c>
      <c r="E13" s="416">
        <v>68.099999999999994</v>
      </c>
      <c r="F13" s="416">
        <v>245</v>
      </c>
      <c r="G13" s="416">
        <v>200.3</v>
      </c>
    </row>
    <row r="14" spans="1:7">
      <c r="A14" s="452">
        <v>2012</v>
      </c>
      <c r="B14" s="416">
        <v>163.30000000000001</v>
      </c>
      <c r="C14" s="416">
        <v>183.3</v>
      </c>
      <c r="D14" s="416">
        <v>139.69999999999999</v>
      </c>
      <c r="E14" s="416">
        <v>80.599999999999994</v>
      </c>
      <c r="F14" s="416">
        <v>245.2</v>
      </c>
      <c r="G14" s="416">
        <v>199.6</v>
      </c>
    </row>
    <row r="15" spans="1:7">
      <c r="A15" s="452">
        <v>2013</v>
      </c>
      <c r="B15" s="416">
        <v>138.5</v>
      </c>
      <c r="C15" s="416">
        <v>180.8</v>
      </c>
      <c r="D15" s="416">
        <v>130</v>
      </c>
      <c r="E15" s="416">
        <v>89.4</v>
      </c>
      <c r="F15" s="416">
        <v>282.8</v>
      </c>
      <c r="G15" s="416">
        <v>211.4</v>
      </c>
    </row>
    <row r="16" spans="1:7">
      <c r="A16" s="452">
        <v>2014</v>
      </c>
      <c r="B16" s="657">
        <f>'Cycle Report'!J304/Acreage!B16</f>
        <v>152.78088709677419</v>
      </c>
      <c r="C16" s="657">
        <f>'Cycle Report'!J305/Acreage!C16</f>
        <v>190.28066666666666</v>
      </c>
      <c r="D16" s="657">
        <f>'Cycle Report'!J306/Acreage!D16</f>
        <v>169.87896551724137</v>
      </c>
      <c r="E16" s="657">
        <f>'Cycle Report'!J307/Acreage!E16</f>
        <v>93.676874999999995</v>
      </c>
      <c r="F16" s="657">
        <f>'Cycle Report'!J308/Acreage!F16</f>
        <v>237.85410628019324</v>
      </c>
      <c r="G16" s="657">
        <f>'Cycle Report'!J310/Acreage!G16</f>
        <v>198.49125615763546</v>
      </c>
    </row>
    <row r="17" spans="1:7">
      <c r="A17" s="452">
        <v>2015</v>
      </c>
      <c r="B17" s="657">
        <f>'Cycle Report'!K304/Acreage!B17</f>
        <v>165.94060606060606</v>
      </c>
      <c r="C17" s="657">
        <f>'Cycle Report'!K305/Acreage!C17</f>
        <v>146.09633333333332</v>
      </c>
      <c r="D17" s="657">
        <f>'Cycle Report'!K306/Acreage!D17</f>
        <v>188.60310344827587</v>
      </c>
      <c r="E17" s="657">
        <f>'Cycle Report'!K307/Acreage!E17</f>
        <v>122.55312499999999</v>
      </c>
      <c r="F17" s="657">
        <f>'Cycle Report'!K308/Acreage!F17</f>
        <v>231.52747524752476</v>
      </c>
      <c r="G17" s="657">
        <f>'Cycle Report'!K310/Acreage!G17</f>
        <v>196.79034229828852</v>
      </c>
    </row>
    <row r="18" spans="1:7">
      <c r="A18" s="555">
        <v>2016</v>
      </c>
      <c r="B18" s="684">
        <f>'Cycle Report'!L304/Acreage!B18</f>
        <v>162.98961240310078</v>
      </c>
      <c r="C18" s="658">
        <f>'Cycle Report'!L305/Acreage!C18</f>
        <v>185.54580645161289</v>
      </c>
      <c r="D18" s="658">
        <f>'Cycle Report'!L306/Acreage!D18</f>
        <v>135.52071428571429</v>
      </c>
      <c r="E18" s="658">
        <f>'Cycle Report'!L307/Acreage!E18</f>
        <v>99.671875</v>
      </c>
      <c r="F18" s="658">
        <f>'Cycle Report'!L308/Acreage!F18</f>
        <v>285.96383886255921</v>
      </c>
      <c r="G18" s="658">
        <f>'Cycle Report'!L310/Acreage!G18</f>
        <v>222.90951807228916</v>
      </c>
    </row>
    <row r="19" spans="1:7">
      <c r="A19" s="628">
        <v>2017</v>
      </c>
      <c r="B19" s="658">
        <f>'Cycle Report'!M207/Acreage!B19</f>
        <v>142.97495934959349</v>
      </c>
      <c r="C19" s="658">
        <f>'Cycle Report'!M208/Acreage!C19</f>
        <v>169.13200000000001</v>
      </c>
      <c r="D19" s="658">
        <f>'Cycle Report'!M209/Acreage!D19</f>
        <v>169.41392857142858</v>
      </c>
      <c r="E19" s="658">
        <f>'Cycle Report'!M210/Acreage!E19</f>
        <v>87.12266666666666</v>
      </c>
      <c r="F19" s="658">
        <f>'Cycle Report'!M211/Acreage!F19</f>
        <v>258.996359223301</v>
      </c>
      <c r="G19" s="658">
        <f>'Cycle Report'!M213/Acreage!G19</f>
        <v>204.58403022670026</v>
      </c>
    </row>
    <row r="20" spans="1:7">
      <c r="A20" s="23"/>
    </row>
    <row r="23" spans="1:7">
      <c r="B23" s="23"/>
    </row>
  </sheetData>
  <pageMargins left="0.7" right="0.7" top="0.75" bottom="0.75" header="0.3" footer="0.3"/>
  <pageSetup orientation="portrait" r:id="rId1"/>
  <headerFooter>
    <oddHeader>&amp;LUS Cranberry Yields</oddHeader>
  </headerFooter>
</worksheet>
</file>

<file path=xl/worksheets/sheet4.xml><?xml version="1.0" encoding="utf-8"?>
<worksheet xmlns="http://schemas.openxmlformats.org/spreadsheetml/2006/main" xmlns:r="http://schemas.openxmlformats.org/officeDocument/2006/relationships">
  <dimension ref="B1:F40"/>
  <sheetViews>
    <sheetView showGridLines="0" zoomScale="40" zoomScaleNormal="40" workbookViewId="0">
      <selection activeCell="G31" sqref="G31"/>
    </sheetView>
  </sheetViews>
  <sheetFormatPr defaultColWidth="9.1796875" defaultRowHeight="29.5"/>
  <cols>
    <col min="1" max="1" width="3.54296875" style="186" customWidth="1"/>
    <col min="2" max="2" width="61.453125" style="186" customWidth="1"/>
    <col min="3" max="3" width="29.54296875" style="186" customWidth="1"/>
    <col min="4" max="4" width="29.26953125" style="186" customWidth="1"/>
    <col min="5" max="5" width="38.81640625" style="186" customWidth="1"/>
    <col min="6" max="16384" width="9.1796875" style="186"/>
  </cols>
  <sheetData>
    <row r="1" spans="2:4" ht="25.5" customHeight="1">
      <c r="B1" s="769" t="s">
        <v>248</v>
      </c>
      <c r="C1" s="770"/>
      <c r="D1" s="771"/>
    </row>
    <row r="2" spans="2:4" ht="20.25" customHeight="1">
      <c r="B2" s="772" t="s">
        <v>2</v>
      </c>
      <c r="C2" s="773"/>
      <c r="D2" s="774"/>
    </row>
    <row r="3" spans="2:4" ht="21.75" customHeight="1">
      <c r="B3" s="775">
        <v>43327</v>
      </c>
      <c r="C3" s="776"/>
      <c r="D3" s="777"/>
    </row>
    <row r="4" spans="2:4" ht="20.25" customHeight="1">
      <c r="B4" s="778"/>
      <c r="C4" s="779"/>
      <c r="D4" s="780"/>
    </row>
    <row r="5" spans="2:4" ht="77.5" customHeight="1">
      <c r="B5" s="266"/>
      <c r="C5" s="760" t="s">
        <v>200</v>
      </c>
      <c r="D5" s="760" t="s">
        <v>268</v>
      </c>
    </row>
    <row r="6" spans="2:4" ht="30.75" customHeight="1">
      <c r="B6" s="267"/>
      <c r="C6" s="767" t="s">
        <v>23</v>
      </c>
      <c r="D6" s="768"/>
    </row>
    <row r="7" spans="2:4" ht="30">
      <c r="B7" s="649" t="s">
        <v>3</v>
      </c>
      <c r="C7" s="642"/>
      <c r="D7" s="643"/>
    </row>
    <row r="8" spans="2:4" ht="30">
      <c r="B8" s="268" t="s">
        <v>56</v>
      </c>
      <c r="C8" s="261">
        <v>2150</v>
      </c>
      <c r="D8" s="637">
        <v>2200</v>
      </c>
    </row>
    <row r="9" spans="2:4" ht="30">
      <c r="B9" s="268" t="s">
        <v>57</v>
      </c>
      <c r="C9" s="261">
        <v>2000</v>
      </c>
      <c r="D9" s="637">
        <v>2150</v>
      </c>
    </row>
    <row r="10" spans="2:4" ht="30">
      <c r="B10" s="268" t="s">
        <v>230</v>
      </c>
      <c r="C10" s="261">
        <v>2050</v>
      </c>
      <c r="D10" s="637">
        <v>2100</v>
      </c>
    </row>
    <row r="11" spans="2:4" ht="30">
      <c r="B11" s="268" t="s">
        <v>35</v>
      </c>
      <c r="C11" s="261">
        <v>2200</v>
      </c>
      <c r="D11" s="637">
        <v>2250</v>
      </c>
    </row>
    <row r="12" spans="2:4" ht="30">
      <c r="B12" s="268" t="s">
        <v>211</v>
      </c>
      <c r="C12" s="261">
        <v>2100</v>
      </c>
      <c r="D12" s="637">
        <v>2150</v>
      </c>
    </row>
    <row r="13" spans="2:4" ht="30">
      <c r="B13" s="268" t="s">
        <v>282</v>
      </c>
      <c r="C13" s="261"/>
      <c r="D13" s="637">
        <v>2000</v>
      </c>
    </row>
    <row r="14" spans="2:4" ht="30">
      <c r="B14" s="268" t="s">
        <v>45</v>
      </c>
      <c r="C14" s="261">
        <v>2100</v>
      </c>
      <c r="D14" s="637">
        <v>2200</v>
      </c>
    </row>
    <row r="15" spans="2:4" ht="30">
      <c r="B15" s="268" t="s">
        <v>5</v>
      </c>
      <c r="C15" s="261">
        <f>AVERAGE(C8,C9,C10,C11,C12,C14)</f>
        <v>2100</v>
      </c>
      <c r="D15" s="637">
        <f>AVERAGE(D8:D14)</f>
        <v>2150</v>
      </c>
    </row>
    <row r="16" spans="2:4" ht="30">
      <c r="B16" s="646" t="s">
        <v>4</v>
      </c>
      <c r="C16" s="647"/>
      <c r="D16" s="648"/>
    </row>
    <row r="17" spans="2:6" ht="30">
      <c r="B17" s="447" t="s">
        <v>193</v>
      </c>
      <c r="C17" s="644">
        <v>470</v>
      </c>
      <c r="D17" s="645">
        <v>500</v>
      </c>
    </row>
    <row r="18" spans="2:6" ht="30">
      <c r="B18" s="447" t="s">
        <v>6</v>
      </c>
      <c r="C18" s="448">
        <v>500</v>
      </c>
      <c r="D18" s="638">
        <v>500</v>
      </c>
    </row>
    <row r="19" spans="2:6" ht="30">
      <c r="B19" s="447" t="s">
        <v>212</v>
      </c>
      <c r="C19" s="448">
        <v>510</v>
      </c>
      <c r="D19" s="638">
        <v>510</v>
      </c>
      <c r="F19" s="186" t="s">
        <v>20</v>
      </c>
    </row>
    <row r="20" spans="2:6" ht="30">
      <c r="B20" s="447" t="s">
        <v>231</v>
      </c>
      <c r="C20" s="448">
        <v>470</v>
      </c>
      <c r="D20" s="638">
        <v>500</v>
      </c>
    </row>
    <row r="21" spans="2:6" ht="24" customHeight="1">
      <c r="B21" s="447" t="s">
        <v>7</v>
      </c>
      <c r="C21" s="448">
        <f>AVERAGE(C17,C18,C19,C20)</f>
        <v>487.5</v>
      </c>
      <c r="D21" s="638">
        <f>AVERAGE(D17,D18,D19,D20)</f>
        <v>502.5</v>
      </c>
    </row>
    <row r="22" spans="2:6" s="641" customFormat="1" ht="30">
      <c r="B22" s="649" t="s">
        <v>8</v>
      </c>
      <c r="C22" s="639"/>
      <c r="D22" s="640"/>
    </row>
    <row r="23" spans="2:6" ht="30">
      <c r="B23" s="268" t="s">
        <v>36</v>
      </c>
      <c r="C23" s="261">
        <v>5800</v>
      </c>
      <c r="D23" s="637">
        <v>5800</v>
      </c>
    </row>
    <row r="24" spans="2:6" ht="30">
      <c r="B24" s="268" t="s">
        <v>278</v>
      </c>
      <c r="C24" s="261"/>
      <c r="D24" s="637">
        <v>5900</v>
      </c>
    </row>
    <row r="25" spans="2:6" ht="30">
      <c r="B25" s="268" t="s">
        <v>9</v>
      </c>
      <c r="C25" s="261">
        <v>5400</v>
      </c>
      <c r="D25" s="637">
        <v>5700</v>
      </c>
    </row>
    <row r="26" spans="2:6" ht="30">
      <c r="B26" s="268" t="s">
        <v>207</v>
      </c>
      <c r="C26" s="261">
        <v>5800</v>
      </c>
      <c r="D26" s="637">
        <v>6000</v>
      </c>
    </row>
    <row r="27" spans="2:6" ht="30">
      <c r="B27" s="268" t="s">
        <v>279</v>
      </c>
      <c r="C27" s="261">
        <v>5800</v>
      </c>
      <c r="D27" s="637">
        <v>6000</v>
      </c>
    </row>
    <row r="28" spans="2:6" ht="30">
      <c r="B28" s="268" t="s">
        <v>111</v>
      </c>
      <c r="C28" s="261">
        <v>5900</v>
      </c>
      <c r="D28" s="637">
        <v>6000</v>
      </c>
    </row>
    <row r="29" spans="2:6" ht="30">
      <c r="B29" s="268" t="s">
        <v>44</v>
      </c>
      <c r="C29" s="261">
        <v>6000</v>
      </c>
      <c r="D29" s="637">
        <v>5900</v>
      </c>
    </row>
    <row r="30" spans="2:6" ht="30">
      <c r="B30" s="268" t="s">
        <v>10</v>
      </c>
      <c r="C30" s="261">
        <f>AVERAGE(C23,C24,C25,C26,C27,C28,C29)</f>
        <v>5783.333333333333</v>
      </c>
      <c r="D30" s="637">
        <f>AVERAGE(D23,D24,D25,D26,D27,D28,D29)</f>
        <v>5900</v>
      </c>
    </row>
    <row r="31" spans="2:6" s="641" customFormat="1" ht="30">
      <c r="B31" s="649" t="s">
        <v>11</v>
      </c>
      <c r="C31" s="639"/>
      <c r="D31" s="640"/>
    </row>
    <row r="32" spans="2:6" ht="30">
      <c r="B32" s="447" t="s">
        <v>280</v>
      </c>
      <c r="C32" s="448">
        <v>450</v>
      </c>
      <c r="D32" s="638">
        <v>530</v>
      </c>
    </row>
    <row r="33" spans="2:4" ht="30">
      <c r="B33" s="447" t="s">
        <v>113</v>
      </c>
      <c r="C33" s="448">
        <v>450</v>
      </c>
      <c r="D33" s="638"/>
    </row>
    <row r="34" spans="2:4" ht="30">
      <c r="B34" s="447" t="s">
        <v>281</v>
      </c>
      <c r="C34" s="448">
        <v>440</v>
      </c>
      <c r="D34" s="638">
        <v>520</v>
      </c>
    </row>
    <row r="35" spans="2:4" ht="23.5" customHeight="1">
      <c r="B35" s="447" t="s">
        <v>12</v>
      </c>
      <c r="C35" s="448">
        <f>AVERAGE(C32,C33,C34)</f>
        <v>446.66666666666669</v>
      </c>
      <c r="D35" s="638">
        <f>AVERAGE(D32,D34)</f>
        <v>525</v>
      </c>
    </row>
    <row r="36" spans="2:4" s="641" customFormat="1" ht="30">
      <c r="B36" s="649" t="s">
        <v>13</v>
      </c>
      <c r="C36" s="639"/>
      <c r="D36" s="640"/>
    </row>
    <row r="37" spans="2:4" ht="30">
      <c r="B37" s="268" t="s">
        <v>283</v>
      </c>
      <c r="C37" s="261"/>
      <c r="D37" s="637">
        <v>160</v>
      </c>
    </row>
    <row r="38" spans="2:4" ht="30">
      <c r="B38" s="268" t="s">
        <v>112</v>
      </c>
      <c r="C38" s="261">
        <v>150</v>
      </c>
      <c r="D38" s="637">
        <v>160</v>
      </c>
    </row>
    <row r="39" spans="2:4" ht="28.5" customHeight="1">
      <c r="B39" s="268" t="s">
        <v>14</v>
      </c>
      <c r="C39" s="261">
        <f>AVERAGE(C37:C38)</f>
        <v>150</v>
      </c>
      <c r="D39" s="637">
        <f>AVERAGE(D37:D38)</f>
        <v>160</v>
      </c>
    </row>
    <row r="40" spans="2:4" ht="80.25" customHeight="1">
      <c r="B40" s="449" t="s">
        <v>247</v>
      </c>
      <c r="C40" s="448">
        <f>SUM(C15,C21,C30,C35,C39)</f>
        <v>8967.4999999999982</v>
      </c>
      <c r="D40" s="638">
        <f>SUM(D15,D21,D30,D35,D39)</f>
        <v>9237.5</v>
      </c>
    </row>
  </sheetData>
  <mergeCells count="5">
    <mergeCell ref="C6:D6"/>
    <mergeCell ref="B1:D1"/>
    <mergeCell ref="B2:D2"/>
    <mergeCell ref="B3:D3"/>
    <mergeCell ref="B4:D4"/>
  </mergeCells>
  <phoneticPr fontId="0" type="noConversion"/>
  <printOptions horizontalCentered="1" verticalCentered="1"/>
  <pageMargins left="0.25" right="0.26" top="0.68" bottom="0.61" header="0.5" footer="0.5"/>
  <pageSetup scale="55" orientation="portrait" r:id="rId1"/>
  <headerFooter alignWithMargins="0"/>
</worksheet>
</file>

<file path=xl/worksheets/sheet5.xml><?xml version="1.0" encoding="utf-8"?>
<worksheet xmlns="http://schemas.openxmlformats.org/spreadsheetml/2006/main" xmlns:r="http://schemas.openxmlformats.org/officeDocument/2006/relationships">
  <dimension ref="A1:O32"/>
  <sheetViews>
    <sheetView zoomScale="60" zoomScaleNormal="60" workbookViewId="0">
      <pane ySplit="3" topLeftCell="A20" activePane="bottomLeft" state="frozen"/>
      <selection activeCell="F8" sqref="F8"/>
      <selection pane="bottomLeft" activeCell="E30" sqref="E30"/>
    </sheetView>
  </sheetViews>
  <sheetFormatPr defaultColWidth="14" defaultRowHeight="13"/>
  <cols>
    <col min="1" max="1" width="23.26953125" style="1" customWidth="1"/>
    <col min="2" max="2" width="24.7265625" style="1" customWidth="1"/>
    <col min="3" max="3" width="25.1796875" style="1" customWidth="1"/>
    <col min="4" max="4" width="21" style="1" customWidth="1"/>
    <col min="5" max="5" width="36.7265625" style="1" customWidth="1"/>
    <col min="6" max="6" width="31.26953125" style="1" customWidth="1"/>
    <col min="7" max="7" width="25.7265625" style="1" customWidth="1"/>
    <col min="8" max="8" width="27" style="1" customWidth="1"/>
    <col min="9" max="9" width="19.453125" style="1" bestFit="1" customWidth="1"/>
    <col min="10" max="10" width="31" style="1" customWidth="1"/>
    <col min="11" max="11" width="34.1796875" style="1" customWidth="1"/>
    <col min="12" max="12" width="17.1796875" style="1" customWidth="1"/>
    <col min="13" max="13" width="27" style="1" customWidth="1"/>
    <col min="14" max="14" width="15.453125" style="1" customWidth="1"/>
    <col min="15" max="15" width="37.7265625" style="1" customWidth="1"/>
    <col min="16" max="16384" width="14" style="1"/>
  </cols>
  <sheetData>
    <row r="1" spans="1:15" ht="33" thickBot="1">
      <c r="A1" s="789" t="s">
        <v>203</v>
      </c>
      <c r="B1" s="790"/>
      <c r="C1" s="790"/>
      <c r="D1" s="790"/>
      <c r="E1" s="790"/>
      <c r="F1" s="790"/>
      <c r="G1" s="790"/>
      <c r="H1" s="790"/>
      <c r="I1" s="790"/>
      <c r="J1" s="790"/>
      <c r="K1" s="790"/>
      <c r="L1" s="790"/>
      <c r="M1" s="790"/>
      <c r="N1" s="790"/>
      <c r="O1" s="791"/>
    </row>
    <row r="2" spans="1:15" ht="114.75" customHeight="1">
      <c r="A2" s="247"/>
      <c r="B2" s="781" t="s">
        <v>52</v>
      </c>
      <c r="C2" s="782"/>
      <c r="D2" s="782"/>
      <c r="E2" s="782"/>
      <c r="F2" s="783"/>
      <c r="G2" s="784" t="s">
        <v>53</v>
      </c>
      <c r="H2" s="785"/>
      <c r="I2" s="785"/>
      <c r="J2" s="402" t="s">
        <v>205</v>
      </c>
      <c r="K2" s="245" t="s">
        <v>199</v>
      </c>
      <c r="L2" s="786" t="s">
        <v>55</v>
      </c>
      <c r="M2" s="787"/>
      <c r="N2" s="788"/>
      <c r="O2" s="253" t="s">
        <v>204</v>
      </c>
    </row>
    <row r="3" spans="1:15" ht="71.25" customHeight="1" thickBot="1">
      <c r="A3" s="235" t="s">
        <v>0</v>
      </c>
      <c r="B3" s="403" t="s">
        <v>51</v>
      </c>
      <c r="C3" s="406" t="s">
        <v>49</v>
      </c>
      <c r="D3" s="406" t="s">
        <v>50</v>
      </c>
      <c r="E3" s="406" t="s">
        <v>46</v>
      </c>
      <c r="F3" s="407" t="s">
        <v>48</v>
      </c>
      <c r="G3" s="236" t="s">
        <v>46</v>
      </c>
      <c r="H3" s="237" t="s">
        <v>47</v>
      </c>
      <c r="I3" s="237" t="s">
        <v>48</v>
      </c>
      <c r="J3" s="403" t="s">
        <v>54</v>
      </c>
      <c r="K3" s="236" t="s">
        <v>46</v>
      </c>
      <c r="L3" s="688" t="s">
        <v>50</v>
      </c>
      <c r="M3" s="689" t="s">
        <v>201</v>
      </c>
      <c r="N3" s="690" t="s">
        <v>48</v>
      </c>
      <c r="O3" s="685" t="s">
        <v>202</v>
      </c>
    </row>
    <row r="4" spans="1:15" ht="33">
      <c r="A4" s="238">
        <v>1992</v>
      </c>
      <c r="B4" s="408">
        <v>3</v>
      </c>
      <c r="C4" s="409">
        <v>264</v>
      </c>
      <c r="D4" s="409">
        <v>318</v>
      </c>
      <c r="E4" s="410"/>
      <c r="F4" s="411"/>
      <c r="G4" s="239"/>
      <c r="H4" s="241"/>
      <c r="I4" s="241"/>
      <c r="J4" s="404"/>
      <c r="K4" s="239"/>
      <c r="L4" s="396"/>
      <c r="M4" s="397"/>
      <c r="N4" s="397"/>
      <c r="O4" s="686"/>
    </row>
    <row r="5" spans="1:15" ht="33">
      <c r="A5" s="238">
        <v>1993</v>
      </c>
      <c r="B5" s="408">
        <v>5</v>
      </c>
      <c r="C5" s="409">
        <v>274</v>
      </c>
      <c r="D5" s="409">
        <v>382</v>
      </c>
      <c r="E5" s="410"/>
      <c r="F5" s="411"/>
      <c r="G5" s="239"/>
      <c r="H5" s="241"/>
      <c r="I5" s="241"/>
      <c r="J5" s="404"/>
      <c r="K5" s="239"/>
      <c r="L5" s="396"/>
      <c r="M5" s="397"/>
      <c r="N5" s="397"/>
      <c r="O5" s="686"/>
    </row>
    <row r="6" spans="1:15" ht="33">
      <c r="A6" s="238">
        <v>1994</v>
      </c>
      <c r="B6" s="408">
        <v>9</v>
      </c>
      <c r="C6" s="409">
        <v>318</v>
      </c>
      <c r="D6" s="409">
        <v>606</v>
      </c>
      <c r="E6" s="410"/>
      <c r="F6" s="411"/>
      <c r="G6" s="239"/>
      <c r="H6" s="241"/>
      <c r="I6" s="241"/>
      <c r="J6" s="404"/>
      <c r="K6" s="239"/>
      <c r="L6" s="396"/>
      <c r="M6" s="397"/>
      <c r="N6" s="397"/>
      <c r="O6" s="686"/>
    </row>
    <row r="7" spans="1:15" ht="33">
      <c r="A7" s="238">
        <v>1995</v>
      </c>
      <c r="B7" s="408">
        <v>12</v>
      </c>
      <c r="C7" s="422">
        <v>382</v>
      </c>
      <c r="D7" s="422">
        <v>803</v>
      </c>
      <c r="E7" s="422"/>
      <c r="F7" s="411"/>
      <c r="G7" s="239"/>
      <c r="H7" s="241"/>
      <c r="I7" s="241"/>
      <c r="J7" s="404"/>
      <c r="K7" s="239"/>
      <c r="L7" s="396"/>
      <c r="M7" s="397"/>
      <c r="N7" s="397"/>
      <c r="O7" s="686"/>
    </row>
    <row r="8" spans="1:15" ht="33">
      <c r="A8" s="238">
        <v>1996</v>
      </c>
      <c r="B8" s="408">
        <v>15</v>
      </c>
      <c r="C8" s="422">
        <v>543</v>
      </c>
      <c r="D8" s="422">
        <v>984</v>
      </c>
      <c r="E8" s="422">
        <v>73933.58</v>
      </c>
      <c r="F8" s="412">
        <f t="shared" ref="F8:F20" si="0">E8/C8</f>
        <v>136.157605893186</v>
      </c>
      <c r="G8" s="239"/>
      <c r="H8" s="241"/>
      <c r="I8" s="241"/>
      <c r="J8" s="404"/>
      <c r="K8" s="239"/>
      <c r="L8" s="396"/>
      <c r="M8" s="397"/>
      <c r="N8" s="397"/>
      <c r="O8" s="686"/>
    </row>
    <row r="9" spans="1:15" ht="33">
      <c r="A9" s="238">
        <v>1997</v>
      </c>
      <c r="B9" s="408">
        <v>22</v>
      </c>
      <c r="C9" s="422">
        <v>714</v>
      </c>
      <c r="D9" s="422">
        <v>1332</v>
      </c>
      <c r="E9" s="422">
        <v>107190</v>
      </c>
      <c r="F9" s="412">
        <f t="shared" si="0"/>
        <v>150.12605042016807</v>
      </c>
      <c r="G9" s="239"/>
      <c r="H9" s="241"/>
      <c r="I9" s="241"/>
      <c r="J9" s="404"/>
      <c r="K9" s="239"/>
      <c r="L9" s="396"/>
      <c r="M9" s="397"/>
      <c r="N9" s="397"/>
      <c r="O9" s="686"/>
    </row>
    <row r="10" spans="1:15" ht="33">
      <c r="A10" s="238">
        <v>1998</v>
      </c>
      <c r="B10" s="408">
        <v>26</v>
      </c>
      <c r="C10" s="422">
        <v>897</v>
      </c>
      <c r="D10" s="422">
        <v>1837</v>
      </c>
      <c r="E10" s="422">
        <v>163466.01</v>
      </c>
      <c r="F10" s="412">
        <f t="shared" si="0"/>
        <v>182.23635451505018</v>
      </c>
      <c r="G10" s="239"/>
      <c r="H10" s="241"/>
      <c r="I10" s="241"/>
      <c r="J10" s="404"/>
      <c r="K10" s="239"/>
      <c r="L10" s="396"/>
      <c r="M10" s="397"/>
      <c r="N10" s="397"/>
      <c r="O10" s="686"/>
    </row>
    <row r="11" spans="1:15" ht="33">
      <c r="A11" s="238">
        <v>1999</v>
      </c>
      <c r="B11" s="408">
        <v>35</v>
      </c>
      <c r="C11" s="422">
        <v>1365</v>
      </c>
      <c r="D11" s="422">
        <v>2490</v>
      </c>
      <c r="E11" s="422">
        <v>208550</v>
      </c>
      <c r="F11" s="412">
        <f t="shared" si="0"/>
        <v>152.78388278388277</v>
      </c>
      <c r="G11" s="239"/>
      <c r="H11" s="241"/>
      <c r="I11" s="241"/>
      <c r="J11" s="404"/>
      <c r="K11" s="239"/>
      <c r="L11" s="396"/>
      <c r="M11" s="397"/>
      <c r="N11" s="397"/>
      <c r="O11" s="686"/>
    </row>
    <row r="12" spans="1:15" ht="33">
      <c r="A12" s="238">
        <v>2000</v>
      </c>
      <c r="B12" s="408">
        <v>41</v>
      </c>
      <c r="C12" s="422">
        <v>1809</v>
      </c>
      <c r="D12" s="422">
        <v>2706</v>
      </c>
      <c r="E12" s="422">
        <v>317107.57</v>
      </c>
      <c r="F12" s="412">
        <f t="shared" si="0"/>
        <v>175.29440022111663</v>
      </c>
      <c r="G12" s="239"/>
      <c r="H12" s="241"/>
      <c r="I12" s="241"/>
      <c r="J12" s="404"/>
      <c r="K12" s="239"/>
      <c r="L12" s="396"/>
      <c r="M12" s="397"/>
      <c r="N12" s="397"/>
      <c r="O12" s="686"/>
    </row>
    <row r="13" spans="1:15" ht="33">
      <c r="A13" s="238">
        <v>2001</v>
      </c>
      <c r="B13" s="408">
        <v>41</v>
      </c>
      <c r="C13" s="422">
        <v>2475</v>
      </c>
      <c r="D13" s="422">
        <v>2855</v>
      </c>
      <c r="E13" s="422">
        <v>400000</v>
      </c>
      <c r="F13" s="412">
        <f t="shared" si="0"/>
        <v>161.61616161616161</v>
      </c>
      <c r="G13" s="239"/>
      <c r="H13" s="241"/>
      <c r="I13" s="241"/>
      <c r="J13" s="404"/>
      <c r="K13" s="239"/>
      <c r="L13" s="396"/>
      <c r="M13" s="397"/>
      <c r="N13" s="397"/>
      <c r="O13" s="686"/>
    </row>
    <row r="14" spans="1:15" ht="33">
      <c r="A14" s="238">
        <v>2002</v>
      </c>
      <c r="B14" s="408">
        <v>39</v>
      </c>
      <c r="C14" s="422">
        <v>2705</v>
      </c>
      <c r="D14" s="422">
        <v>3005</v>
      </c>
      <c r="E14" s="422">
        <v>360782.81</v>
      </c>
      <c r="F14" s="412">
        <f t="shared" si="0"/>
        <v>133.37626987060997</v>
      </c>
      <c r="G14" s="418">
        <v>779280</v>
      </c>
      <c r="H14" s="241"/>
      <c r="I14" s="241"/>
      <c r="J14" s="404"/>
      <c r="K14" s="242">
        <f t="shared" ref="K14:K19" si="1">E14+G14</f>
        <v>1140062.81</v>
      </c>
      <c r="L14" s="398"/>
      <c r="M14" s="399"/>
      <c r="N14" s="397"/>
      <c r="O14" s="686"/>
    </row>
    <row r="15" spans="1:15" ht="33">
      <c r="A15" s="238">
        <v>2003</v>
      </c>
      <c r="B15" s="408">
        <v>40</v>
      </c>
      <c r="C15" s="422">
        <v>2658</v>
      </c>
      <c r="D15" s="422">
        <v>3078</v>
      </c>
      <c r="E15" s="422">
        <v>566518.98</v>
      </c>
      <c r="F15" s="412">
        <f t="shared" si="0"/>
        <v>213.1373137697517</v>
      </c>
      <c r="G15" s="418">
        <v>852040</v>
      </c>
      <c r="H15" s="241"/>
      <c r="I15" s="241"/>
      <c r="J15" s="404"/>
      <c r="K15" s="242">
        <f t="shared" si="1"/>
        <v>1418558.98</v>
      </c>
      <c r="L15" s="398"/>
      <c r="M15" s="399"/>
      <c r="N15" s="397"/>
      <c r="O15" s="686"/>
    </row>
    <row r="16" spans="1:15" ht="33">
      <c r="A16" s="238">
        <v>2004</v>
      </c>
      <c r="B16" s="408">
        <v>39</v>
      </c>
      <c r="C16" s="422">
        <v>2828</v>
      </c>
      <c r="D16" s="422">
        <v>3264</v>
      </c>
      <c r="E16" s="422">
        <v>542009.31000000006</v>
      </c>
      <c r="F16" s="412">
        <f t="shared" si="0"/>
        <v>191.65817185289959</v>
      </c>
      <c r="G16" s="418">
        <v>844988</v>
      </c>
      <c r="H16" s="240">
        <v>5883</v>
      </c>
      <c r="I16" s="240">
        <f t="shared" ref="I16:I25" si="2">G16/H16</f>
        <v>143.63216046234913</v>
      </c>
      <c r="J16" s="404"/>
      <c r="K16" s="242">
        <f t="shared" si="1"/>
        <v>1386997.31</v>
      </c>
      <c r="L16" s="398"/>
      <c r="M16" s="399"/>
      <c r="N16" s="397"/>
      <c r="O16" s="686"/>
    </row>
    <row r="17" spans="1:15" ht="33">
      <c r="A17" s="238">
        <v>2005</v>
      </c>
      <c r="B17" s="408">
        <v>40</v>
      </c>
      <c r="C17" s="422">
        <v>2910</v>
      </c>
      <c r="D17" s="422">
        <v>3717</v>
      </c>
      <c r="E17" s="422">
        <v>549931.78</v>
      </c>
      <c r="F17" s="412">
        <f t="shared" si="0"/>
        <v>188.97999312714776</v>
      </c>
      <c r="G17" s="418">
        <v>741923</v>
      </c>
      <c r="H17" s="240">
        <v>5915</v>
      </c>
      <c r="I17" s="240">
        <f t="shared" si="2"/>
        <v>125.43076923076923</v>
      </c>
      <c r="J17" s="404"/>
      <c r="K17" s="242">
        <f t="shared" si="1"/>
        <v>1291854.78</v>
      </c>
      <c r="L17" s="398"/>
      <c r="M17" s="399"/>
      <c r="N17" s="397"/>
      <c r="O17" s="686"/>
    </row>
    <row r="18" spans="1:15" ht="33">
      <c r="A18" s="238">
        <v>2006</v>
      </c>
      <c r="B18" s="408">
        <v>45</v>
      </c>
      <c r="C18" s="422">
        <v>3290</v>
      </c>
      <c r="D18" s="422">
        <v>4091</v>
      </c>
      <c r="E18" s="422">
        <v>861723</v>
      </c>
      <c r="F18" s="412">
        <f t="shared" si="0"/>
        <v>261.92188449848027</v>
      </c>
      <c r="G18" s="418">
        <v>767476</v>
      </c>
      <c r="H18" s="240">
        <v>5857</v>
      </c>
      <c r="I18" s="240">
        <f t="shared" si="2"/>
        <v>131.03568379716577</v>
      </c>
      <c r="J18" s="404"/>
      <c r="K18" s="242">
        <f t="shared" si="1"/>
        <v>1629199</v>
      </c>
      <c r="L18" s="398"/>
      <c r="M18" s="399"/>
      <c r="N18" s="397"/>
      <c r="O18" s="686"/>
    </row>
    <row r="19" spans="1:15" ht="33">
      <c r="A19" s="238">
        <v>2007</v>
      </c>
      <c r="B19" s="408">
        <v>49</v>
      </c>
      <c r="C19" s="422">
        <v>3735</v>
      </c>
      <c r="D19" s="422">
        <v>4637</v>
      </c>
      <c r="E19" s="422">
        <v>640904</v>
      </c>
      <c r="F19" s="412">
        <f t="shared" si="0"/>
        <v>171.59410977242302</v>
      </c>
      <c r="G19" s="418">
        <v>792132</v>
      </c>
      <c r="H19" s="240">
        <v>6102</v>
      </c>
      <c r="I19" s="240">
        <f t="shared" si="2"/>
        <v>129.81514257620452</v>
      </c>
      <c r="J19" s="404"/>
      <c r="K19" s="242">
        <f t="shared" si="1"/>
        <v>1433036</v>
      </c>
      <c r="L19" s="398"/>
      <c r="M19" s="399"/>
      <c r="N19" s="397"/>
      <c r="O19" s="686"/>
    </row>
    <row r="20" spans="1:15" ht="33">
      <c r="A20" s="238">
        <v>2008</v>
      </c>
      <c r="B20" s="408">
        <v>55</v>
      </c>
      <c r="C20" s="422">
        <v>4131</v>
      </c>
      <c r="D20" s="422">
        <v>5282</v>
      </c>
      <c r="E20" s="422">
        <v>796065</v>
      </c>
      <c r="F20" s="412">
        <f t="shared" si="0"/>
        <v>192.70515613652867</v>
      </c>
      <c r="G20" s="418">
        <v>693300</v>
      </c>
      <c r="H20" s="240">
        <v>6140</v>
      </c>
      <c r="I20" s="240">
        <f t="shared" si="2"/>
        <v>112.91530944625407</v>
      </c>
      <c r="J20" s="405">
        <v>125000</v>
      </c>
      <c r="K20" s="242">
        <f>E20+G20+J20</f>
        <v>1614365</v>
      </c>
      <c r="L20" s="398"/>
      <c r="M20" s="399"/>
      <c r="N20" s="397"/>
      <c r="O20" s="686"/>
    </row>
    <row r="21" spans="1:15" ht="32.5">
      <c r="A21" s="238">
        <v>2009</v>
      </c>
      <c r="B21" s="408">
        <v>66</v>
      </c>
      <c r="C21" s="422">
        <v>4355</v>
      </c>
      <c r="D21" s="422">
        <v>6242</v>
      </c>
      <c r="E21" s="422">
        <v>963619</v>
      </c>
      <c r="F21" s="412">
        <f t="shared" ref="F21:F25" si="3">E21/C21</f>
        <v>221.26727898966706</v>
      </c>
      <c r="G21" s="418">
        <v>826000</v>
      </c>
      <c r="H21" s="240">
        <v>6130</v>
      </c>
      <c r="I21" s="240">
        <f t="shared" si="2"/>
        <v>134.74714518760194</v>
      </c>
      <c r="J21" s="405" t="s">
        <v>20</v>
      </c>
      <c r="K21" s="242">
        <f>SUM(E21,G21,J21)</f>
        <v>1789619</v>
      </c>
      <c r="L21" s="400">
        <v>1250</v>
      </c>
      <c r="M21" s="425">
        <v>300000</v>
      </c>
      <c r="N21" s="401">
        <f t="shared" ref="N21:N27" si="4">M21/L21</f>
        <v>240</v>
      </c>
      <c r="O21" s="394">
        <f t="shared" ref="O21:O30" si="5">K21+M21</f>
        <v>2089619</v>
      </c>
    </row>
    <row r="22" spans="1:15" ht="32.5">
      <c r="A22" s="238">
        <v>2010</v>
      </c>
      <c r="B22" s="408">
        <v>74</v>
      </c>
      <c r="C22" s="422">
        <v>4879</v>
      </c>
      <c r="D22" s="422">
        <v>7259</v>
      </c>
      <c r="E22" s="422">
        <v>918959</v>
      </c>
      <c r="F22" s="412">
        <f t="shared" si="3"/>
        <v>188.34986677597868</v>
      </c>
      <c r="G22" s="418">
        <v>643897</v>
      </c>
      <c r="H22" s="240">
        <v>6508</v>
      </c>
      <c r="I22" s="243">
        <f t="shared" si="2"/>
        <v>98.939305470190533</v>
      </c>
      <c r="J22" s="404"/>
      <c r="K22" s="242">
        <f>SUM(E22,G22,J22)</f>
        <v>1562856</v>
      </c>
      <c r="L22" s="400">
        <v>1280</v>
      </c>
      <c r="M22" s="425">
        <v>219286</v>
      </c>
      <c r="N22" s="401">
        <f t="shared" si="4"/>
        <v>171.31718749999999</v>
      </c>
      <c r="O22" s="394">
        <f t="shared" si="5"/>
        <v>1782142</v>
      </c>
    </row>
    <row r="23" spans="1:15" ht="32.5">
      <c r="A23" s="238">
        <v>2011</v>
      </c>
      <c r="B23" s="408">
        <v>76</v>
      </c>
      <c r="C23" s="422">
        <v>5880</v>
      </c>
      <c r="D23" s="422">
        <v>8040</v>
      </c>
      <c r="E23" s="422">
        <v>1193306</v>
      </c>
      <c r="F23" s="412">
        <f t="shared" si="3"/>
        <v>202.94319727891155</v>
      </c>
      <c r="G23" s="418">
        <v>607520</v>
      </c>
      <c r="H23" s="240">
        <v>6505</v>
      </c>
      <c r="I23" s="240">
        <f t="shared" si="2"/>
        <v>93.392774788624138</v>
      </c>
      <c r="J23" s="405">
        <f>75000+25000+10000</f>
        <v>110000</v>
      </c>
      <c r="K23" s="242">
        <f>SUM(E23,G23,J23)</f>
        <v>1910826</v>
      </c>
      <c r="L23" s="400">
        <v>1433</v>
      </c>
      <c r="M23" s="425">
        <v>354022</v>
      </c>
      <c r="N23" s="401">
        <f t="shared" si="4"/>
        <v>247.04954640614096</v>
      </c>
      <c r="O23" s="394">
        <f t="shared" si="5"/>
        <v>2264848</v>
      </c>
    </row>
    <row r="24" spans="1:15" ht="32.5">
      <c r="A24" s="238">
        <v>2012</v>
      </c>
      <c r="B24" s="408">
        <v>80</v>
      </c>
      <c r="C24" s="422">
        <v>7071</v>
      </c>
      <c r="D24" s="422">
        <v>8463</v>
      </c>
      <c r="E24" s="422">
        <v>1854980</v>
      </c>
      <c r="F24" s="412">
        <f t="shared" si="3"/>
        <v>262.33630321029557</v>
      </c>
      <c r="G24" s="418">
        <v>944051</v>
      </c>
      <c r="H24" s="240">
        <v>6539</v>
      </c>
      <c r="I24" s="240">
        <f t="shared" si="2"/>
        <v>144.37238109802723</v>
      </c>
      <c r="J24" s="405">
        <f>109000+33000+10250+2500</f>
        <v>154750</v>
      </c>
      <c r="K24" s="242">
        <f>SUM(E24,G24,J24)</f>
        <v>2953781</v>
      </c>
      <c r="L24" s="400">
        <v>1472</v>
      </c>
      <c r="M24" s="425">
        <v>354800</v>
      </c>
      <c r="N24" s="401">
        <f t="shared" si="4"/>
        <v>241.03260869565219</v>
      </c>
      <c r="O24" s="394">
        <f t="shared" si="5"/>
        <v>3308581</v>
      </c>
    </row>
    <row r="25" spans="1:15" ht="32.5">
      <c r="A25" s="238">
        <v>2013</v>
      </c>
      <c r="B25" s="408">
        <v>81</v>
      </c>
      <c r="C25" s="422">
        <v>7657</v>
      </c>
      <c r="D25" s="422">
        <v>9121.1</v>
      </c>
      <c r="E25" s="422">
        <v>1621764</v>
      </c>
      <c r="F25" s="412">
        <f t="shared" si="3"/>
        <v>211.8014888337469</v>
      </c>
      <c r="G25" s="418">
        <v>941277</v>
      </c>
      <c r="H25" s="240">
        <v>6567</v>
      </c>
      <c r="I25" s="240">
        <f t="shared" si="2"/>
        <v>143.33439926907263</v>
      </c>
      <c r="J25" s="405">
        <v>203246</v>
      </c>
      <c r="K25" s="242">
        <f>SUM(E25,G25,J25)</f>
        <v>2766287</v>
      </c>
      <c r="L25" s="400">
        <v>1500</v>
      </c>
      <c r="M25" s="425">
        <v>465000</v>
      </c>
      <c r="N25" s="401">
        <f t="shared" si="4"/>
        <v>310</v>
      </c>
      <c r="O25" s="394">
        <f t="shared" si="5"/>
        <v>3231287</v>
      </c>
    </row>
    <row r="26" spans="1:15" ht="32.5">
      <c r="A26" s="238">
        <v>2014</v>
      </c>
      <c r="B26" s="408">
        <v>84</v>
      </c>
      <c r="C26" s="422">
        <v>8516</v>
      </c>
      <c r="D26" s="422">
        <v>9789</v>
      </c>
      <c r="E26" s="422">
        <f>241047230/100</f>
        <v>2410472.2999999998</v>
      </c>
      <c r="F26" s="412">
        <f>E26/C26</f>
        <v>283.05217238139971</v>
      </c>
      <c r="G26" s="419">
        <v>837538</v>
      </c>
      <c r="H26" s="240">
        <v>6541</v>
      </c>
      <c r="I26" s="240">
        <f>G26/H26</f>
        <v>128.04433572848188</v>
      </c>
      <c r="J26" s="405">
        <v>125000</v>
      </c>
      <c r="K26" s="242">
        <f>J26+G26+E26</f>
        <v>3373010.3</v>
      </c>
      <c r="L26" s="400">
        <v>1700</v>
      </c>
      <c r="M26" s="426">
        <v>408000</v>
      </c>
      <c r="N26" s="401">
        <f t="shared" si="4"/>
        <v>240</v>
      </c>
      <c r="O26" s="394">
        <f t="shared" si="5"/>
        <v>3781010.3</v>
      </c>
    </row>
    <row r="27" spans="1:15" ht="32.5">
      <c r="A27" s="393">
        <v>2015</v>
      </c>
      <c r="B27" s="408">
        <v>82</v>
      </c>
      <c r="C27" s="422">
        <f>C26+731</f>
        <v>9247</v>
      </c>
      <c r="D27" s="422">
        <v>9889</v>
      </c>
      <c r="E27" s="422">
        <f>208538744/100</f>
        <v>2085387.44</v>
      </c>
      <c r="F27" s="412">
        <f>E27/C27</f>
        <v>225.52043257272629</v>
      </c>
      <c r="G27" s="419">
        <v>989000</v>
      </c>
      <c r="H27" s="240">
        <v>6700</v>
      </c>
      <c r="I27" s="240">
        <f>G27/H27</f>
        <v>147.61194029850745</v>
      </c>
      <c r="J27" s="405">
        <f>2283000-E27</f>
        <v>197612.56000000006</v>
      </c>
      <c r="K27" s="394">
        <f>J27+G27+E27</f>
        <v>3272000</v>
      </c>
      <c r="L27" s="400">
        <v>1700</v>
      </c>
      <c r="M27" s="426">
        <v>432000</v>
      </c>
      <c r="N27" s="401">
        <f t="shared" si="4"/>
        <v>254.11764705882354</v>
      </c>
      <c r="O27" s="394">
        <f t="shared" si="5"/>
        <v>3704000</v>
      </c>
    </row>
    <row r="28" spans="1:15" ht="33">
      <c r="A28" s="569">
        <v>2016</v>
      </c>
      <c r="B28" s="408">
        <v>82</v>
      </c>
      <c r="C28" s="565">
        <v>9502</v>
      </c>
      <c r="D28" s="566">
        <v>10349</v>
      </c>
      <c r="E28" s="565">
        <v>2758937</v>
      </c>
      <c r="F28" s="412">
        <f>E28/C28</f>
        <v>290.35329404335931</v>
      </c>
      <c r="G28" s="419">
        <v>1000000</v>
      </c>
      <c r="H28" s="567"/>
      <c r="I28" s="240"/>
      <c r="J28" s="570">
        <v>200000</v>
      </c>
      <c r="K28" s="240">
        <f>J28+G28+E28</f>
        <v>3958937</v>
      </c>
      <c r="L28" s="396"/>
      <c r="M28" s="425">
        <v>488000</v>
      </c>
      <c r="N28" s="571"/>
      <c r="O28" s="394">
        <f t="shared" si="5"/>
        <v>4446937</v>
      </c>
    </row>
    <row r="29" spans="1:15" ht="33">
      <c r="A29" s="241">
        <v>2017</v>
      </c>
      <c r="B29" s="408">
        <v>80</v>
      </c>
      <c r="C29" s="565">
        <v>9828</v>
      </c>
      <c r="D29" s="566">
        <v>10558</v>
      </c>
      <c r="E29" s="565">
        <v>1602671</v>
      </c>
      <c r="F29" s="412">
        <f>E29/C29</f>
        <v>163.07193732193733</v>
      </c>
      <c r="G29" s="419">
        <v>870000</v>
      </c>
      <c r="H29" s="567"/>
      <c r="I29" s="240"/>
      <c r="J29" s="570">
        <v>180000</v>
      </c>
      <c r="K29" s="242">
        <f>J29+G29+E29</f>
        <v>2652671</v>
      </c>
      <c r="L29" s="396"/>
      <c r="M29" s="425">
        <v>480000</v>
      </c>
      <c r="N29" s="571"/>
      <c r="O29" s="394">
        <f t="shared" si="5"/>
        <v>3132671</v>
      </c>
    </row>
    <row r="30" spans="1:15" ht="33.5" thickBot="1">
      <c r="A30" s="568" t="s">
        <v>277</v>
      </c>
      <c r="B30" s="413"/>
      <c r="C30" s="420"/>
      <c r="D30" s="421"/>
      <c r="E30" s="420">
        <v>2280000</v>
      </c>
      <c r="F30" s="414"/>
      <c r="G30" s="417">
        <v>1000000</v>
      </c>
      <c r="H30" s="395"/>
      <c r="I30" s="415"/>
      <c r="J30" s="423">
        <v>200000</v>
      </c>
      <c r="K30" s="574">
        <f>J30+G30+E30</f>
        <v>3480000</v>
      </c>
      <c r="L30" s="572"/>
      <c r="M30" s="424">
        <v>440000</v>
      </c>
      <c r="N30" s="573"/>
      <c r="O30" s="687">
        <f t="shared" si="5"/>
        <v>3920000</v>
      </c>
    </row>
    <row r="31" spans="1:15" ht="33">
      <c r="A31" s="246" t="s">
        <v>206</v>
      </c>
      <c r="B31" s="244"/>
      <c r="C31" s="244"/>
      <c r="D31" s="244"/>
      <c r="E31" s="244"/>
      <c r="F31" s="244"/>
      <c r="G31" s="244"/>
      <c r="H31" s="244"/>
      <c r="I31" s="244"/>
      <c r="J31" s="244"/>
      <c r="K31" s="244"/>
      <c r="L31" s="244"/>
      <c r="M31" s="244"/>
      <c r="N31" s="244"/>
    </row>
    <row r="32" spans="1:15" ht="33">
      <c r="A32" s="287"/>
      <c r="B32" s="288"/>
      <c r="C32" s="288"/>
      <c r="D32" s="288"/>
      <c r="E32" s="288"/>
      <c r="F32" s="288"/>
      <c r="G32" s="288"/>
      <c r="H32" s="288"/>
      <c r="I32" s="288"/>
      <c r="J32" s="288"/>
      <c r="K32" s="244"/>
      <c r="L32" s="244"/>
      <c r="M32" s="244"/>
      <c r="N32" s="244"/>
    </row>
  </sheetData>
  <mergeCells count="4">
    <mergeCell ref="B2:F2"/>
    <mergeCell ref="G2:I2"/>
    <mergeCell ref="L2:N2"/>
    <mergeCell ref="A1:O1"/>
  </mergeCells>
  <phoneticPr fontId="5" type="noConversion"/>
  <pageMargins left="0.24" right="0.23" top="1" bottom="1" header="0.5" footer="0.5"/>
  <pageSetup scale="34" orientation="landscape" r:id="rId1"/>
  <headerFooter alignWithMargins="0"/>
</worksheet>
</file>

<file path=xl/worksheets/sheet6.xml><?xml version="1.0" encoding="utf-8"?>
<worksheet xmlns="http://schemas.openxmlformats.org/spreadsheetml/2006/main" xmlns:r="http://schemas.openxmlformats.org/officeDocument/2006/relationships">
  <dimension ref="A1:J40"/>
  <sheetViews>
    <sheetView topLeftCell="A24" zoomScale="70" zoomScaleNormal="70" workbookViewId="0">
      <selection activeCell="A39" sqref="A39:H39"/>
    </sheetView>
  </sheetViews>
  <sheetFormatPr defaultColWidth="55.1796875" defaultRowHeight="29.5"/>
  <cols>
    <col min="1" max="1" width="23.26953125" style="186" customWidth="1"/>
    <col min="2" max="2" width="31.7265625" style="186" customWidth="1"/>
    <col min="3" max="3" width="27.7265625" style="186" customWidth="1"/>
    <col min="4" max="4" width="33" style="186" customWidth="1"/>
    <col min="5" max="5" width="28.7265625" style="186" customWidth="1"/>
    <col min="6" max="6" width="24.81640625" style="186" customWidth="1"/>
    <col min="7" max="7" width="25.54296875" style="186" customWidth="1"/>
    <col min="8" max="8" width="34.1796875" style="186" customWidth="1"/>
    <col min="9" max="16384" width="55.1796875" style="186"/>
  </cols>
  <sheetData>
    <row r="1" spans="1:10" ht="30.5" thickTop="1">
      <c r="A1" s="795" t="s">
        <v>198</v>
      </c>
      <c r="B1" s="796"/>
      <c r="C1" s="796"/>
      <c r="D1" s="796"/>
      <c r="E1" s="796"/>
      <c r="F1" s="796"/>
      <c r="G1" s="796"/>
      <c r="H1" s="797"/>
    </row>
    <row r="2" spans="1:10" ht="49.5" customHeight="1">
      <c r="A2" s="798" t="s">
        <v>233</v>
      </c>
      <c r="B2" s="799"/>
      <c r="C2" s="799"/>
      <c r="D2" s="799"/>
      <c r="E2" s="799"/>
      <c r="F2" s="799"/>
      <c r="G2" s="799"/>
      <c r="H2" s="800"/>
    </row>
    <row r="3" spans="1:10" ht="70" customHeight="1">
      <c r="A3" s="187" t="s">
        <v>0</v>
      </c>
      <c r="B3" s="188" t="s">
        <v>28</v>
      </c>
      <c r="C3" s="188" t="s">
        <v>29</v>
      </c>
      <c r="D3" s="188" t="s">
        <v>30</v>
      </c>
      <c r="E3" s="188" t="s">
        <v>31</v>
      </c>
      <c r="F3" s="188" t="s">
        <v>26</v>
      </c>
      <c r="G3" s="188" t="s">
        <v>32</v>
      </c>
      <c r="H3" s="189" t="s">
        <v>33</v>
      </c>
    </row>
    <row r="4" spans="1:10" ht="30">
      <c r="A4" s="190"/>
      <c r="B4" s="792" t="s">
        <v>1</v>
      </c>
      <c r="C4" s="793"/>
      <c r="D4" s="793"/>
      <c r="E4" s="793"/>
      <c r="F4" s="793"/>
      <c r="G4" s="793"/>
      <c r="H4" s="794"/>
    </row>
    <row r="5" spans="1:10" ht="30">
      <c r="A5" s="191">
        <v>1988</v>
      </c>
      <c r="B5" s="192">
        <v>253597</v>
      </c>
      <c r="C5" s="192">
        <v>130596</v>
      </c>
      <c r="D5" s="192">
        <v>3693561</v>
      </c>
      <c r="E5" s="192">
        <v>53300</v>
      </c>
      <c r="F5" s="192">
        <v>4131054</v>
      </c>
      <c r="G5" s="193">
        <f t="shared" ref="G5:G22" si="0">B5+C5</f>
        <v>384193</v>
      </c>
      <c r="H5" s="194">
        <f t="shared" ref="H5:H30" si="1">D5+E5</f>
        <v>3746861</v>
      </c>
    </row>
    <row r="6" spans="1:10" ht="30">
      <c r="A6" s="195">
        <v>1989</v>
      </c>
      <c r="B6" s="196">
        <v>234210</v>
      </c>
      <c r="C6" s="196">
        <v>123630</v>
      </c>
      <c r="D6" s="196">
        <v>3433799</v>
      </c>
      <c r="E6" s="196">
        <v>68436</v>
      </c>
      <c r="F6" s="196">
        <v>3860075</v>
      </c>
      <c r="G6" s="197">
        <f t="shared" si="0"/>
        <v>357840</v>
      </c>
      <c r="H6" s="198">
        <f t="shared" si="1"/>
        <v>3502235</v>
      </c>
    </row>
    <row r="7" spans="1:10" ht="30">
      <c r="A7" s="191">
        <v>1990</v>
      </c>
      <c r="B7" s="192">
        <v>164998</v>
      </c>
      <c r="C7" s="192">
        <v>104659</v>
      </c>
      <c r="D7" s="192">
        <v>3665882</v>
      </c>
      <c r="E7" s="192">
        <v>95791</v>
      </c>
      <c r="F7" s="192">
        <v>4031330</v>
      </c>
      <c r="G7" s="193">
        <f t="shared" si="0"/>
        <v>269657</v>
      </c>
      <c r="H7" s="194">
        <f t="shared" si="1"/>
        <v>3761673</v>
      </c>
    </row>
    <row r="8" spans="1:10" ht="30">
      <c r="A8" s="195">
        <v>1991</v>
      </c>
      <c r="B8" s="196">
        <v>173861</v>
      </c>
      <c r="C8" s="196">
        <v>66434</v>
      </c>
      <c r="D8" s="196">
        <v>4173095</v>
      </c>
      <c r="E8" s="196">
        <v>136235</v>
      </c>
      <c r="F8" s="196">
        <v>4549625</v>
      </c>
      <c r="G8" s="197">
        <f t="shared" si="0"/>
        <v>240295</v>
      </c>
      <c r="H8" s="198">
        <f t="shared" si="1"/>
        <v>4309330</v>
      </c>
      <c r="J8" s="199"/>
    </row>
    <row r="9" spans="1:10" ht="30">
      <c r="A9" s="191">
        <v>1992</v>
      </c>
      <c r="B9" s="192">
        <v>204648</v>
      </c>
      <c r="C9" s="192">
        <v>34199</v>
      </c>
      <c r="D9" s="192">
        <v>3755315</v>
      </c>
      <c r="E9" s="192">
        <v>176136</v>
      </c>
      <c r="F9" s="192">
        <v>4170298</v>
      </c>
      <c r="G9" s="193">
        <f t="shared" si="0"/>
        <v>238847</v>
      </c>
      <c r="H9" s="194">
        <f t="shared" si="1"/>
        <v>3931451</v>
      </c>
    </row>
    <row r="10" spans="1:10" ht="30">
      <c r="A10" s="195">
        <v>1993</v>
      </c>
      <c r="B10" s="196">
        <v>210090</v>
      </c>
      <c r="C10" s="196">
        <v>19126</v>
      </c>
      <c r="D10" s="196">
        <v>3878172</v>
      </c>
      <c r="E10" s="196">
        <v>263589</v>
      </c>
      <c r="F10" s="196">
        <v>4370977</v>
      </c>
      <c r="G10" s="197">
        <f t="shared" si="0"/>
        <v>229216</v>
      </c>
      <c r="H10" s="198">
        <f t="shared" si="1"/>
        <v>4141761</v>
      </c>
    </row>
    <row r="11" spans="1:10" ht="30">
      <c r="A11" s="191">
        <v>1994</v>
      </c>
      <c r="B11" s="192">
        <v>230850</v>
      </c>
      <c r="C11" s="192">
        <v>18474</v>
      </c>
      <c r="D11" s="192">
        <v>4461657</v>
      </c>
      <c r="E11" s="192">
        <v>342604</v>
      </c>
      <c r="F11" s="193">
        <f t="shared" ref="F11:F20" si="2">SUM(B11:E11)</f>
        <v>5053585</v>
      </c>
      <c r="G11" s="193">
        <f t="shared" si="0"/>
        <v>249324</v>
      </c>
      <c r="H11" s="194">
        <f t="shared" si="1"/>
        <v>4804261</v>
      </c>
    </row>
    <row r="12" spans="1:10" ht="30">
      <c r="A12" s="195">
        <v>1995</v>
      </c>
      <c r="B12" s="196">
        <v>216558</v>
      </c>
      <c r="C12" s="196">
        <v>22557</v>
      </c>
      <c r="D12" s="196">
        <v>4161843</v>
      </c>
      <c r="E12" s="196">
        <v>374468</v>
      </c>
      <c r="F12" s="197">
        <f t="shared" si="2"/>
        <v>4775426</v>
      </c>
      <c r="G12" s="197">
        <f t="shared" si="0"/>
        <v>239115</v>
      </c>
      <c r="H12" s="198">
        <f t="shared" si="1"/>
        <v>4536311</v>
      </c>
    </row>
    <row r="13" spans="1:10" ht="30">
      <c r="A13" s="191">
        <v>1996</v>
      </c>
      <c r="B13" s="192">
        <v>213542</v>
      </c>
      <c r="C13" s="192">
        <v>19726</v>
      </c>
      <c r="D13" s="192">
        <v>4071969</v>
      </c>
      <c r="E13" s="192">
        <v>466000</v>
      </c>
      <c r="F13" s="193">
        <f t="shared" si="2"/>
        <v>4771237</v>
      </c>
      <c r="G13" s="193">
        <f t="shared" si="0"/>
        <v>233268</v>
      </c>
      <c r="H13" s="194">
        <f t="shared" si="1"/>
        <v>4537969</v>
      </c>
    </row>
    <row r="14" spans="1:10" ht="30">
      <c r="A14" s="195">
        <v>1997</v>
      </c>
      <c r="B14" s="196">
        <v>201650</v>
      </c>
      <c r="C14" s="196">
        <v>26002</v>
      </c>
      <c r="D14" s="196">
        <v>4370025</v>
      </c>
      <c r="E14" s="196">
        <v>501991</v>
      </c>
      <c r="F14" s="197">
        <f t="shared" si="2"/>
        <v>5099668</v>
      </c>
      <c r="G14" s="197">
        <f t="shared" si="0"/>
        <v>227652</v>
      </c>
      <c r="H14" s="198">
        <f t="shared" si="1"/>
        <v>4872016</v>
      </c>
    </row>
    <row r="15" spans="1:10" ht="30">
      <c r="A15" s="191">
        <v>1998</v>
      </c>
      <c r="B15" s="192">
        <v>202114</v>
      </c>
      <c r="C15" s="192">
        <v>28768</v>
      </c>
      <c r="D15" s="192">
        <v>4338015</v>
      </c>
      <c r="E15" s="192">
        <v>676481</v>
      </c>
      <c r="F15" s="193">
        <f t="shared" si="2"/>
        <v>5245378</v>
      </c>
      <c r="G15" s="193">
        <f t="shared" si="0"/>
        <v>230882</v>
      </c>
      <c r="H15" s="194">
        <f t="shared" si="1"/>
        <v>5014496</v>
      </c>
    </row>
    <row r="16" spans="1:10" ht="30">
      <c r="A16" s="195">
        <v>1999</v>
      </c>
      <c r="B16" s="196">
        <v>214128</v>
      </c>
      <c r="C16" s="196">
        <v>39933</v>
      </c>
      <c r="D16" s="196">
        <v>4474297</v>
      </c>
      <c r="E16" s="196">
        <v>859851</v>
      </c>
      <c r="F16" s="197">
        <f t="shared" si="2"/>
        <v>5588209</v>
      </c>
      <c r="G16" s="197">
        <f t="shared" si="0"/>
        <v>254061</v>
      </c>
      <c r="H16" s="198">
        <f t="shared" si="1"/>
        <v>5334148</v>
      </c>
    </row>
    <row r="17" spans="1:9" ht="30">
      <c r="A17" s="191">
        <v>2000</v>
      </c>
      <c r="B17" s="192">
        <v>260249</v>
      </c>
      <c r="C17" s="192">
        <v>40093</v>
      </c>
      <c r="D17" s="192">
        <v>5272813</v>
      </c>
      <c r="E17" s="192">
        <v>784371</v>
      </c>
      <c r="F17" s="193">
        <f t="shared" si="2"/>
        <v>6357526</v>
      </c>
      <c r="G17" s="193">
        <f t="shared" si="0"/>
        <v>300342</v>
      </c>
      <c r="H17" s="194">
        <f t="shared" si="1"/>
        <v>6057184</v>
      </c>
    </row>
    <row r="18" spans="1:9" ht="30">
      <c r="A18" s="195">
        <v>2001</v>
      </c>
      <c r="B18" s="196">
        <v>236249</v>
      </c>
      <c r="C18" s="196">
        <v>31412</v>
      </c>
      <c r="D18" s="196">
        <v>5822142</v>
      </c>
      <c r="E18" s="196">
        <v>563363</v>
      </c>
      <c r="F18" s="197">
        <f t="shared" si="2"/>
        <v>6653166</v>
      </c>
      <c r="G18" s="197">
        <f t="shared" si="0"/>
        <v>267661</v>
      </c>
      <c r="H18" s="198">
        <f t="shared" si="1"/>
        <v>6385505</v>
      </c>
    </row>
    <row r="19" spans="1:9" ht="30">
      <c r="A19" s="191">
        <v>2002</v>
      </c>
      <c r="B19" s="192">
        <v>251789</v>
      </c>
      <c r="C19" s="192">
        <v>47913</v>
      </c>
      <c r="D19" s="192">
        <v>4825187</v>
      </c>
      <c r="E19" s="192">
        <v>1251460</v>
      </c>
      <c r="F19" s="193">
        <f t="shared" si="2"/>
        <v>6376349</v>
      </c>
      <c r="G19" s="193">
        <f t="shared" si="0"/>
        <v>299702</v>
      </c>
      <c r="H19" s="194">
        <f t="shared" si="1"/>
        <v>6076647</v>
      </c>
    </row>
    <row r="20" spans="1:9" ht="30">
      <c r="A20" s="200">
        <v>2003</v>
      </c>
      <c r="B20" s="201">
        <v>202572</v>
      </c>
      <c r="C20" s="201">
        <v>49321</v>
      </c>
      <c r="D20" s="201">
        <v>4991500</v>
      </c>
      <c r="E20" s="201">
        <v>1435275</v>
      </c>
      <c r="F20" s="197">
        <f t="shared" si="2"/>
        <v>6678668</v>
      </c>
      <c r="G20" s="197">
        <f t="shared" si="0"/>
        <v>251893</v>
      </c>
      <c r="H20" s="198">
        <f t="shared" si="1"/>
        <v>6426775</v>
      </c>
    </row>
    <row r="21" spans="1:9" ht="30">
      <c r="A21" s="202">
        <v>2004</v>
      </c>
      <c r="B21" s="193">
        <v>249318</v>
      </c>
      <c r="C21" s="193">
        <v>49448</v>
      </c>
      <c r="D21" s="193">
        <v>5248884</v>
      </c>
      <c r="E21" s="193">
        <v>1458164</v>
      </c>
      <c r="F21" s="193">
        <f t="shared" ref="F21:F30" si="3">SUM(B21:E21)</f>
        <v>7005814</v>
      </c>
      <c r="G21" s="193">
        <f t="shared" si="0"/>
        <v>298766</v>
      </c>
      <c r="H21" s="194">
        <f t="shared" si="1"/>
        <v>6707048</v>
      </c>
      <c r="I21" s="203"/>
    </row>
    <row r="22" spans="1:9" ht="30">
      <c r="A22" s="204">
        <v>2005</v>
      </c>
      <c r="B22" s="197">
        <v>238995</v>
      </c>
      <c r="C22" s="197">
        <v>63395</v>
      </c>
      <c r="D22" s="197">
        <v>5196723</v>
      </c>
      <c r="E22" s="197">
        <v>1614292</v>
      </c>
      <c r="F22" s="197">
        <f t="shared" si="3"/>
        <v>7113405</v>
      </c>
      <c r="G22" s="197">
        <f t="shared" si="0"/>
        <v>302390</v>
      </c>
      <c r="H22" s="198">
        <f t="shared" si="1"/>
        <v>6811015</v>
      </c>
    </row>
    <row r="23" spans="1:9" ht="30">
      <c r="A23" s="202">
        <v>2006</v>
      </c>
      <c r="B23" s="193">
        <v>259746</v>
      </c>
      <c r="C23" s="193">
        <v>75240</v>
      </c>
      <c r="D23" s="193">
        <v>5908463</v>
      </c>
      <c r="E23" s="193">
        <v>1485823</v>
      </c>
      <c r="F23" s="193">
        <f t="shared" si="3"/>
        <v>7729272</v>
      </c>
      <c r="G23" s="193">
        <f t="shared" ref="G23:G30" si="4">B23+C23</f>
        <v>334986</v>
      </c>
      <c r="H23" s="194">
        <f t="shared" si="1"/>
        <v>7394286</v>
      </c>
    </row>
    <row r="24" spans="1:9" ht="30">
      <c r="A24" s="205">
        <v>2007</v>
      </c>
      <c r="B24" s="201">
        <v>291587</v>
      </c>
      <c r="C24" s="201">
        <v>54899</v>
      </c>
      <c r="D24" s="201">
        <v>5873657</v>
      </c>
      <c r="E24" s="201">
        <v>1519065</v>
      </c>
      <c r="F24" s="201">
        <f t="shared" si="3"/>
        <v>7739208</v>
      </c>
      <c r="G24" s="201">
        <f t="shared" si="4"/>
        <v>346486</v>
      </c>
      <c r="H24" s="198">
        <f t="shared" si="1"/>
        <v>7392722</v>
      </c>
    </row>
    <row r="25" spans="1:9" ht="30">
      <c r="A25" s="202">
        <v>2008</v>
      </c>
      <c r="B25" s="193">
        <v>252694</v>
      </c>
      <c r="C25" s="193">
        <v>48313</v>
      </c>
      <c r="D25" s="193">
        <v>5328003</v>
      </c>
      <c r="E25" s="193">
        <v>1789979</v>
      </c>
      <c r="F25" s="193">
        <f t="shared" si="3"/>
        <v>7418989</v>
      </c>
      <c r="G25" s="193">
        <f t="shared" si="4"/>
        <v>301007</v>
      </c>
      <c r="H25" s="194">
        <f t="shared" si="1"/>
        <v>7117982</v>
      </c>
    </row>
    <row r="26" spans="1:9" ht="30">
      <c r="A26" s="205">
        <v>2009</v>
      </c>
      <c r="B26" s="201">
        <v>241219</v>
      </c>
      <c r="C26" s="201">
        <v>50667</v>
      </c>
      <c r="D26" s="201">
        <v>5536541</v>
      </c>
      <c r="E26" s="201">
        <v>1804143</v>
      </c>
      <c r="F26" s="201">
        <f t="shared" si="3"/>
        <v>7632570</v>
      </c>
      <c r="G26" s="201">
        <f t="shared" si="4"/>
        <v>291886</v>
      </c>
      <c r="H26" s="198">
        <f t="shared" si="1"/>
        <v>7340684</v>
      </c>
    </row>
    <row r="27" spans="1:9" ht="30">
      <c r="A27" s="206">
        <v>2010</v>
      </c>
      <c r="B27" s="207">
        <v>257012</v>
      </c>
      <c r="C27" s="207">
        <v>48267</v>
      </c>
      <c r="D27" s="207">
        <v>5717010</v>
      </c>
      <c r="E27" s="207">
        <v>2200630</v>
      </c>
      <c r="F27" s="207">
        <f t="shared" si="3"/>
        <v>8222919</v>
      </c>
      <c r="G27" s="207">
        <f t="shared" si="4"/>
        <v>305279</v>
      </c>
      <c r="H27" s="194">
        <f t="shared" si="1"/>
        <v>7917640</v>
      </c>
    </row>
    <row r="28" spans="1:9" ht="30">
      <c r="A28" s="205">
        <v>2011</v>
      </c>
      <c r="B28" s="201">
        <v>258980</v>
      </c>
      <c r="C28" s="201">
        <v>58847</v>
      </c>
      <c r="D28" s="201">
        <v>5315314</v>
      </c>
      <c r="E28" s="201">
        <f>1653538+548418</f>
        <v>2201956</v>
      </c>
      <c r="F28" s="201">
        <f t="shared" si="3"/>
        <v>7835097</v>
      </c>
      <c r="G28" s="201">
        <f t="shared" si="4"/>
        <v>317827</v>
      </c>
      <c r="H28" s="208">
        <f t="shared" si="1"/>
        <v>7517270</v>
      </c>
    </row>
    <row r="29" spans="1:9" ht="30">
      <c r="A29" s="206">
        <v>2012</v>
      </c>
      <c r="B29" s="207">
        <v>265364</v>
      </c>
      <c r="C29" s="207">
        <v>56275</v>
      </c>
      <c r="D29" s="207">
        <v>5237404</v>
      </c>
      <c r="E29" s="207">
        <f>1593483+676828</f>
        <v>2270311</v>
      </c>
      <c r="F29" s="207">
        <f t="shared" si="3"/>
        <v>7829354</v>
      </c>
      <c r="G29" s="207">
        <f t="shared" si="4"/>
        <v>321639</v>
      </c>
      <c r="H29" s="209">
        <f t="shared" si="1"/>
        <v>7507715</v>
      </c>
    </row>
    <row r="30" spans="1:9" ht="30">
      <c r="A30" s="205">
        <v>2013</v>
      </c>
      <c r="B30" s="201">
        <v>270383</v>
      </c>
      <c r="C30" s="201">
        <v>53581</v>
      </c>
      <c r="D30" s="201">
        <f>5826093-270383</f>
        <v>5555710</v>
      </c>
      <c r="E30" s="201">
        <f>2069341+591427</f>
        <v>2660768</v>
      </c>
      <c r="F30" s="201">
        <f t="shared" si="3"/>
        <v>8540442</v>
      </c>
      <c r="G30" s="201">
        <f t="shared" si="4"/>
        <v>323964</v>
      </c>
      <c r="H30" s="208">
        <f t="shared" si="1"/>
        <v>8216478</v>
      </c>
    </row>
    <row r="31" spans="1:9" ht="30">
      <c r="A31" s="206">
        <v>2014</v>
      </c>
      <c r="B31" s="207">
        <v>258767</v>
      </c>
      <c r="C31" s="207">
        <v>55952</v>
      </c>
      <c r="D31" s="207">
        <v>6164931</v>
      </c>
      <c r="E31" s="207">
        <v>2670887</v>
      </c>
      <c r="F31" s="207">
        <f>SUM(B31:E31)</f>
        <v>9150537</v>
      </c>
      <c r="G31" s="207">
        <f>B31+C31</f>
        <v>314719</v>
      </c>
      <c r="H31" s="209">
        <f>D31+E31</f>
        <v>8835818</v>
      </c>
    </row>
    <row r="32" spans="1:9" ht="30">
      <c r="A32" s="205">
        <v>2015</v>
      </c>
      <c r="B32" s="201">
        <v>270229</v>
      </c>
      <c r="C32" s="201">
        <v>47906</v>
      </c>
      <c r="D32" s="201">
        <v>6203247</v>
      </c>
      <c r="E32" s="201">
        <v>2969205</v>
      </c>
      <c r="F32" s="201">
        <f>SUM(B32:E32)</f>
        <v>9490587</v>
      </c>
      <c r="G32" s="201">
        <f>B32+C32</f>
        <v>318135</v>
      </c>
      <c r="H32" s="208">
        <f>D32+E32</f>
        <v>9172452</v>
      </c>
    </row>
    <row r="33" spans="1:8" ht="30">
      <c r="A33" s="373">
        <v>2016</v>
      </c>
      <c r="B33" s="374">
        <v>288697</v>
      </c>
      <c r="C33" s="374">
        <v>43821</v>
      </c>
      <c r="D33" s="374">
        <v>6253105</v>
      </c>
      <c r="E33" s="374">
        <v>2961300</v>
      </c>
      <c r="F33" s="374">
        <f>SUM(B33:E33)</f>
        <v>9546923</v>
      </c>
      <c r="G33" s="374">
        <f>B33+C33</f>
        <v>332518</v>
      </c>
      <c r="H33" s="375">
        <f>D33+E33</f>
        <v>9214405</v>
      </c>
    </row>
    <row r="34" spans="1:8" ht="30">
      <c r="A34" s="205" t="s">
        <v>241</v>
      </c>
      <c r="B34" s="201">
        <f>'Cycle Report'!M220+'Cycle Report'!L269</f>
        <v>284672</v>
      </c>
      <c r="C34" s="201">
        <f>'Cycle Report'!M226+'Cycle Report'!L275</f>
        <v>45273</v>
      </c>
      <c r="D34" s="659">
        <f>('Cycle Report'!M224-'Cycle Report'!M220)+('Cycle Report'!L273-'Cycle Report'!L269)</f>
        <v>6949769</v>
      </c>
      <c r="E34" s="201">
        <f>'Cycle Report'!M227+'Cycle Report'!L276</f>
        <v>3781413</v>
      </c>
      <c r="F34" s="201">
        <f>SUM(B34:E34)</f>
        <v>11061127</v>
      </c>
      <c r="G34" s="201">
        <f>B34+C34</f>
        <v>329945</v>
      </c>
      <c r="H34" s="208">
        <f>D34+E34</f>
        <v>10731182</v>
      </c>
    </row>
    <row r="35" spans="1:8">
      <c r="A35" s="556" t="s">
        <v>155</v>
      </c>
      <c r="B35" s="557">
        <f t="shared" ref="B35:H35" si="5">(B34-B33)/B33</f>
        <v>-1.3941952981846018E-2</v>
      </c>
      <c r="C35" s="557">
        <f t="shared" si="5"/>
        <v>3.3134798384336278E-2</v>
      </c>
      <c r="D35" s="557">
        <f t="shared" si="5"/>
        <v>0.11141089106931676</v>
      </c>
      <c r="E35" s="557">
        <f t="shared" si="5"/>
        <v>0.27694357207982978</v>
      </c>
      <c r="F35" s="557">
        <f t="shared" si="5"/>
        <v>0.15860649551693251</v>
      </c>
      <c r="G35" s="557">
        <f t="shared" si="5"/>
        <v>-7.7379269693670719E-3</v>
      </c>
      <c r="H35" s="558">
        <f t="shared" si="5"/>
        <v>0.16460932637538722</v>
      </c>
    </row>
    <row r="36" spans="1:8">
      <c r="A36" s="210"/>
      <c r="B36" s="211"/>
      <c r="C36" s="211"/>
      <c r="D36" s="211"/>
      <c r="E36" s="211"/>
      <c r="F36" s="211"/>
      <c r="G36" s="211"/>
      <c r="H36" s="212"/>
    </row>
    <row r="37" spans="1:8" ht="30">
      <c r="A37" s="213" t="s">
        <v>242</v>
      </c>
      <c r="B37" s="214"/>
      <c r="C37" s="214"/>
      <c r="D37" s="214"/>
      <c r="E37" s="214"/>
      <c r="F37" s="214"/>
      <c r="G37" s="214"/>
      <c r="H37" s="215"/>
    </row>
    <row r="38" spans="1:8" ht="30">
      <c r="A38" s="450" t="s">
        <v>267</v>
      </c>
      <c r="B38" s="451"/>
      <c r="C38" s="451"/>
      <c r="D38" s="451"/>
      <c r="E38" s="451"/>
      <c r="F38" s="451"/>
      <c r="G38" s="451"/>
      <c r="H38" s="259"/>
    </row>
    <row r="39" spans="1:8" ht="90.75" customHeight="1" thickBot="1">
      <c r="A39" s="801" t="s">
        <v>346</v>
      </c>
      <c r="B39" s="802"/>
      <c r="C39" s="802"/>
      <c r="D39" s="802"/>
      <c r="E39" s="802"/>
      <c r="F39" s="802"/>
      <c r="G39" s="802"/>
      <c r="H39" s="803"/>
    </row>
    <row r="40" spans="1:8" ht="30" thickTop="1"/>
  </sheetData>
  <mergeCells count="4">
    <mergeCell ref="B4:H4"/>
    <mergeCell ref="A1:H1"/>
    <mergeCell ref="A2:H2"/>
    <mergeCell ref="A39:H39"/>
  </mergeCells>
  <phoneticPr fontId="0" type="noConversion"/>
  <printOptions horizontalCentered="1" verticalCentered="1"/>
  <pageMargins left="0.75" right="0.75" top="0.7" bottom="0.43" header="0.5" footer="0.31"/>
  <pageSetup scale="45" orientation="landscape" r:id="rId1"/>
  <headerFooter alignWithMargins="0"/>
</worksheet>
</file>

<file path=xl/worksheets/sheet7.xml><?xml version="1.0" encoding="utf-8"?>
<worksheet xmlns="http://schemas.openxmlformats.org/spreadsheetml/2006/main" xmlns:r="http://schemas.openxmlformats.org/officeDocument/2006/relationships">
  <dimension ref="A1:I13"/>
  <sheetViews>
    <sheetView zoomScale="130" zoomScaleNormal="130" workbookViewId="0">
      <selection activeCell="B3" sqref="B3"/>
    </sheetView>
  </sheetViews>
  <sheetFormatPr defaultRowHeight="12.5"/>
  <cols>
    <col min="1" max="1" width="43.26953125" bestFit="1" customWidth="1"/>
    <col min="2" max="2" width="31.453125" bestFit="1" customWidth="1"/>
  </cols>
  <sheetData>
    <row r="1" spans="1:9" ht="23.5" thickBot="1">
      <c r="A1" s="184" t="s">
        <v>295</v>
      </c>
      <c r="B1" s="599" t="s">
        <v>23</v>
      </c>
    </row>
    <row r="2" spans="1:9" ht="20.5">
      <c r="A2" s="597" t="s">
        <v>257</v>
      </c>
      <c r="B2" s="605">
        <f>'Cycle Report'!M213/1000</f>
        <v>8121.9859999999999</v>
      </c>
      <c r="D2" t="s">
        <v>255</v>
      </c>
    </row>
    <row r="3" spans="1:9" ht="20.5">
      <c r="A3" s="600" t="s">
        <v>250</v>
      </c>
      <c r="B3" s="606">
        <v>2843</v>
      </c>
      <c r="D3" s="23" t="s">
        <v>274</v>
      </c>
      <c r="I3" s="603"/>
    </row>
    <row r="4" spans="1:9" ht="20.5">
      <c r="A4" s="598" t="s">
        <v>251</v>
      </c>
      <c r="B4" s="596">
        <f>B2-B3</f>
        <v>5278.9859999999999</v>
      </c>
      <c r="D4" t="s">
        <v>275</v>
      </c>
    </row>
    <row r="5" spans="1:9" ht="20.5">
      <c r="A5" s="600" t="s">
        <v>252</v>
      </c>
      <c r="B5" s="607">
        <v>0.15</v>
      </c>
    </row>
    <row r="6" spans="1:9" ht="20.5">
      <c r="A6" s="602" t="s">
        <v>254</v>
      </c>
      <c r="B6" s="604">
        <f>1-B5</f>
        <v>0.85</v>
      </c>
    </row>
    <row r="7" spans="1:9" ht="20.5">
      <c r="A7" s="600" t="s">
        <v>258</v>
      </c>
      <c r="B7" s="601">
        <f>B6*B4</f>
        <v>4487.1381000000001</v>
      </c>
    </row>
    <row r="8" spans="1:9" ht="20">
      <c r="A8" s="611" t="s">
        <v>253</v>
      </c>
      <c r="B8" s="610">
        <f>B7+B3</f>
        <v>7330.1381000000001</v>
      </c>
    </row>
    <row r="9" spans="1:9" ht="20.5">
      <c r="A9" s="600"/>
      <c r="B9" s="608"/>
    </row>
    <row r="10" spans="1:9" ht="20.5" thickBot="1">
      <c r="A10" s="612" t="s">
        <v>256</v>
      </c>
      <c r="B10" s="609">
        <f>B2-B8</f>
        <v>791.84789999999975</v>
      </c>
    </row>
    <row r="12" spans="1:9">
      <c r="B12" s="603"/>
    </row>
    <row r="13" spans="1:9">
      <c r="B13" s="603"/>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P112"/>
  <sheetViews>
    <sheetView tabSelected="1" view="pageBreakPreview" zoomScale="60" zoomScaleNormal="100" workbookViewId="0">
      <selection activeCell="F35" sqref="F35"/>
    </sheetView>
  </sheetViews>
  <sheetFormatPr defaultColWidth="9.1796875" defaultRowHeight="20"/>
  <cols>
    <col min="1" max="1" width="20.54296875" style="184" bestFit="1" customWidth="1"/>
    <col min="2" max="2" width="18.26953125" style="184" customWidth="1"/>
    <col min="3" max="3" width="17.81640625" style="184" customWidth="1"/>
    <col min="4" max="4" width="18.1796875" style="184" customWidth="1"/>
    <col min="5" max="5" width="18.1796875" style="184" bestFit="1" customWidth="1"/>
    <col min="6" max="6" width="18.453125" style="184" bestFit="1" customWidth="1"/>
    <col min="7" max="7" width="20.26953125" style="184" customWidth="1"/>
    <col min="8" max="8" width="18.1796875" style="184" bestFit="1" customWidth="1"/>
    <col min="9" max="9" width="17.1796875" style="184" customWidth="1"/>
    <col min="10" max="10" width="18" style="221" customWidth="1"/>
    <col min="11" max="11" width="16" style="222" customWidth="1"/>
    <col min="12" max="12" width="16.26953125" style="222" customWidth="1"/>
    <col min="13" max="13" width="9.1796875" style="184"/>
    <col min="14" max="14" width="17.1796875" style="184" bestFit="1" customWidth="1"/>
    <col min="15" max="15" width="9.1796875" style="184"/>
    <col min="16" max="16" width="21.7265625" style="184" bestFit="1" customWidth="1"/>
    <col min="17" max="16384" width="9.1796875" style="184"/>
  </cols>
  <sheetData>
    <row r="1" spans="1:12">
      <c r="A1" s="806" t="s">
        <v>232</v>
      </c>
      <c r="B1" s="807"/>
      <c r="C1" s="807"/>
      <c r="D1" s="807"/>
      <c r="E1" s="807"/>
      <c r="F1" s="807"/>
      <c r="G1" s="807"/>
      <c r="H1" s="807"/>
      <c r="I1" s="807"/>
      <c r="J1" s="807"/>
      <c r="K1" s="807"/>
      <c r="L1" s="808"/>
    </row>
    <row r="2" spans="1:12" ht="80">
      <c r="A2" s="232" t="s">
        <v>0</v>
      </c>
      <c r="B2" s="232" t="s">
        <v>24</v>
      </c>
      <c r="C2" s="232" t="s">
        <v>273</v>
      </c>
      <c r="D2" s="232" t="s">
        <v>25</v>
      </c>
      <c r="E2" s="232" t="s">
        <v>58</v>
      </c>
      <c r="F2" s="232" t="s">
        <v>59</v>
      </c>
      <c r="G2" s="232" t="s">
        <v>60</v>
      </c>
      <c r="H2" s="232" t="s">
        <v>27</v>
      </c>
      <c r="I2" s="233" t="s">
        <v>61</v>
      </c>
      <c r="J2" s="233" t="s">
        <v>194</v>
      </c>
      <c r="K2" s="234" t="s">
        <v>195</v>
      </c>
      <c r="L2" s="234" t="s">
        <v>196</v>
      </c>
    </row>
    <row r="3" spans="1:12" ht="22.4" customHeight="1">
      <c r="A3" s="454"/>
      <c r="B3" s="809" t="s">
        <v>1</v>
      </c>
      <c r="C3" s="809"/>
      <c r="D3" s="809"/>
      <c r="E3" s="809"/>
      <c r="F3" s="809"/>
      <c r="G3" s="809"/>
      <c r="H3" s="809"/>
      <c r="I3" s="809"/>
      <c r="J3" s="809"/>
      <c r="K3" s="223"/>
      <c r="L3" s="455"/>
    </row>
    <row r="4" spans="1:12" ht="21.65" customHeight="1">
      <c r="A4" s="456">
        <v>1988</v>
      </c>
      <c r="B4" s="386">
        <v>883773</v>
      </c>
      <c r="C4" s="217">
        <v>4069935</v>
      </c>
      <c r="D4" s="386">
        <v>287009</v>
      </c>
      <c r="E4" s="217"/>
      <c r="F4" s="386">
        <v>4131054</v>
      </c>
      <c r="G4" s="386">
        <v>196522</v>
      </c>
      <c r="H4" s="386">
        <f t="shared" ref="H4:H32" si="0">SUM(C4,B4,D4)</f>
        <v>5240717</v>
      </c>
      <c r="I4" s="388">
        <f t="shared" ref="I4:I32" si="1">H4+E4-F4-G4</f>
        <v>913141</v>
      </c>
      <c r="J4" s="390">
        <f>(H4-F4)</f>
        <v>1109663</v>
      </c>
      <c r="K4" s="224"/>
      <c r="L4" s="457">
        <f>(I4/F4)</f>
        <v>0.22104310425378124</v>
      </c>
    </row>
    <row r="5" spans="1:12" ht="21.65" customHeight="1">
      <c r="A5" s="458">
        <v>1989</v>
      </c>
      <c r="B5" s="387">
        <v>985452</v>
      </c>
      <c r="C5" s="227">
        <v>3732117</v>
      </c>
      <c r="D5" s="387">
        <v>254927</v>
      </c>
      <c r="E5" s="227"/>
      <c r="F5" s="387">
        <v>3860075</v>
      </c>
      <c r="G5" s="387">
        <v>273630</v>
      </c>
      <c r="H5" s="387">
        <f t="shared" si="0"/>
        <v>4972496</v>
      </c>
      <c r="I5" s="385">
        <f t="shared" si="1"/>
        <v>838791</v>
      </c>
      <c r="J5" s="385">
        <f t="shared" ref="J5:J32" si="2">(H5-F5)</f>
        <v>1112421</v>
      </c>
      <c r="K5" s="229">
        <f>(J5-J4)/J4</f>
        <v>2.4854392730045069E-3</v>
      </c>
      <c r="L5" s="459">
        <f t="shared" ref="L5:L31" si="3">(I5/F5)</f>
        <v>0.21729914574198689</v>
      </c>
    </row>
    <row r="6" spans="1:12" ht="21.65" customHeight="1">
      <c r="A6" s="456">
        <v>1990</v>
      </c>
      <c r="B6" s="386">
        <v>1216958</v>
      </c>
      <c r="C6" s="217">
        <v>3403441</v>
      </c>
      <c r="D6" s="386">
        <v>379782</v>
      </c>
      <c r="E6" s="217"/>
      <c r="F6" s="386">
        <v>4031330</v>
      </c>
      <c r="G6" s="386">
        <v>197364</v>
      </c>
      <c r="H6" s="386">
        <f t="shared" si="0"/>
        <v>5000181</v>
      </c>
      <c r="I6" s="388">
        <f t="shared" si="1"/>
        <v>771487</v>
      </c>
      <c r="J6" s="384">
        <f t="shared" si="2"/>
        <v>968851</v>
      </c>
      <c r="K6" s="225">
        <f t="shared" ref="K6:K31" si="4">(J6-J5)/J5</f>
        <v>-0.12906085016374197</v>
      </c>
      <c r="L6" s="460">
        <f t="shared" si="3"/>
        <v>0.19137282236879641</v>
      </c>
    </row>
    <row r="7" spans="1:12" ht="21.65" customHeight="1">
      <c r="A7" s="458">
        <v>1991</v>
      </c>
      <c r="B7" s="387">
        <v>1261045</v>
      </c>
      <c r="C7" s="227">
        <v>4173775</v>
      </c>
      <c r="D7" s="387">
        <v>426010</v>
      </c>
      <c r="E7" s="227"/>
      <c r="F7" s="387">
        <v>4549625</v>
      </c>
      <c r="G7" s="387">
        <v>174733</v>
      </c>
      <c r="H7" s="387">
        <f t="shared" si="0"/>
        <v>5860830</v>
      </c>
      <c r="I7" s="385">
        <f t="shared" si="1"/>
        <v>1136472</v>
      </c>
      <c r="J7" s="385">
        <f t="shared" si="2"/>
        <v>1311205</v>
      </c>
      <c r="K7" s="229">
        <f t="shared" si="4"/>
        <v>0.35336083670244445</v>
      </c>
      <c r="L7" s="459">
        <f t="shared" si="3"/>
        <v>0.24979465340550044</v>
      </c>
    </row>
    <row r="8" spans="1:12" ht="21.65" customHeight="1">
      <c r="A8" s="456">
        <v>1992</v>
      </c>
      <c r="B8" s="386">
        <v>1151398</v>
      </c>
      <c r="C8" s="217">
        <v>4103005</v>
      </c>
      <c r="D8" s="386">
        <v>463667</v>
      </c>
      <c r="E8" s="217"/>
      <c r="F8" s="386">
        <v>4170298</v>
      </c>
      <c r="G8" s="386">
        <v>164366</v>
      </c>
      <c r="H8" s="386">
        <f t="shared" si="0"/>
        <v>5718070</v>
      </c>
      <c r="I8" s="388">
        <f t="shared" si="1"/>
        <v>1383406</v>
      </c>
      <c r="J8" s="384">
        <f t="shared" si="2"/>
        <v>1547772</v>
      </c>
      <c r="K8" s="225">
        <f t="shared" si="4"/>
        <v>0.18041953775344055</v>
      </c>
      <c r="L8" s="460">
        <f t="shared" si="3"/>
        <v>0.33172833212398728</v>
      </c>
    </row>
    <row r="9" spans="1:12" ht="21.65" customHeight="1">
      <c r="A9" s="458">
        <v>1993</v>
      </c>
      <c r="B9" s="387">
        <v>1428245</v>
      </c>
      <c r="C9" s="227">
        <v>3909085</v>
      </c>
      <c r="D9" s="387">
        <v>374013</v>
      </c>
      <c r="E9" s="227"/>
      <c r="F9" s="387">
        <v>4370977</v>
      </c>
      <c r="G9" s="387">
        <v>151109</v>
      </c>
      <c r="H9" s="387">
        <f t="shared" si="0"/>
        <v>5711343</v>
      </c>
      <c r="I9" s="385">
        <f t="shared" si="1"/>
        <v>1189257</v>
      </c>
      <c r="J9" s="385">
        <f t="shared" si="2"/>
        <v>1340366</v>
      </c>
      <c r="K9" s="229">
        <f t="shared" si="4"/>
        <v>-0.13400294100164623</v>
      </c>
      <c r="L9" s="459">
        <f t="shared" si="3"/>
        <v>0.2720803609810804</v>
      </c>
    </row>
    <row r="10" spans="1:12" ht="21.65" customHeight="1">
      <c r="A10" s="456">
        <v>1994</v>
      </c>
      <c r="B10" s="386">
        <v>1213923</v>
      </c>
      <c r="C10" s="217">
        <v>4667629</v>
      </c>
      <c r="D10" s="386">
        <v>572830</v>
      </c>
      <c r="E10" s="217"/>
      <c r="F10" s="386">
        <v>5053585</v>
      </c>
      <c r="G10" s="386">
        <v>214060</v>
      </c>
      <c r="H10" s="386">
        <f t="shared" si="0"/>
        <v>6454382</v>
      </c>
      <c r="I10" s="388">
        <f t="shared" si="1"/>
        <v>1186737</v>
      </c>
      <c r="J10" s="384">
        <f t="shared" si="2"/>
        <v>1400797</v>
      </c>
      <c r="K10" s="225">
        <f t="shared" si="4"/>
        <v>4.5085446810796452E-2</v>
      </c>
      <c r="L10" s="460">
        <f t="shared" si="3"/>
        <v>0.23483071918252094</v>
      </c>
    </row>
    <row r="11" spans="1:12" ht="21.65" customHeight="1">
      <c r="A11" s="458">
        <v>1995</v>
      </c>
      <c r="B11" s="387">
        <v>1256548</v>
      </c>
      <c r="C11" s="227">
        <v>4182947</v>
      </c>
      <c r="D11" s="387">
        <v>574656</v>
      </c>
      <c r="E11" s="227"/>
      <c r="F11" s="387">
        <v>4775426</v>
      </c>
      <c r="G11" s="387">
        <v>351655</v>
      </c>
      <c r="H11" s="387">
        <f t="shared" si="0"/>
        <v>6014151</v>
      </c>
      <c r="I11" s="385">
        <f t="shared" si="1"/>
        <v>887070</v>
      </c>
      <c r="J11" s="385">
        <f t="shared" si="2"/>
        <v>1238725</v>
      </c>
      <c r="K11" s="229">
        <f t="shared" si="4"/>
        <v>-0.11569984801509427</v>
      </c>
      <c r="L11" s="459">
        <f t="shared" si="3"/>
        <v>0.18575724971971086</v>
      </c>
    </row>
    <row r="12" spans="1:12" ht="21.65" customHeight="1">
      <c r="A12" s="456">
        <v>1996</v>
      </c>
      <c r="B12" s="386">
        <v>983858</v>
      </c>
      <c r="C12" s="217">
        <v>4668479</v>
      </c>
      <c r="D12" s="386">
        <v>511273</v>
      </c>
      <c r="E12" s="386">
        <v>22206</v>
      </c>
      <c r="F12" s="386">
        <v>4771237</v>
      </c>
      <c r="G12" s="386">
        <v>193260</v>
      </c>
      <c r="H12" s="386">
        <f t="shared" si="0"/>
        <v>6163610</v>
      </c>
      <c r="I12" s="388">
        <f t="shared" si="1"/>
        <v>1221319</v>
      </c>
      <c r="J12" s="384">
        <f t="shared" si="2"/>
        <v>1392373</v>
      </c>
      <c r="K12" s="225">
        <f t="shared" si="4"/>
        <v>0.12403721568548305</v>
      </c>
      <c r="L12" s="460">
        <f t="shared" si="3"/>
        <v>0.25597533721338933</v>
      </c>
    </row>
    <row r="13" spans="1:12" ht="21.65" customHeight="1">
      <c r="A13" s="458">
        <v>1997</v>
      </c>
      <c r="B13" s="387">
        <v>1251968</v>
      </c>
      <c r="C13" s="227">
        <v>5480360</v>
      </c>
      <c r="D13" s="387">
        <v>476902</v>
      </c>
      <c r="E13" s="387">
        <v>-12372</v>
      </c>
      <c r="F13" s="387">
        <v>5120594</v>
      </c>
      <c r="G13" s="387">
        <v>38823</v>
      </c>
      <c r="H13" s="387">
        <f t="shared" si="0"/>
        <v>7209230</v>
      </c>
      <c r="I13" s="385">
        <f t="shared" si="1"/>
        <v>2037441</v>
      </c>
      <c r="J13" s="385">
        <f t="shared" si="2"/>
        <v>2088636</v>
      </c>
      <c r="K13" s="229">
        <f t="shared" si="4"/>
        <v>0.50005494217425939</v>
      </c>
      <c r="L13" s="459">
        <f t="shared" si="3"/>
        <v>0.39789153367753821</v>
      </c>
    </row>
    <row r="14" spans="1:12" ht="21.65" customHeight="1">
      <c r="A14" s="456">
        <v>1998</v>
      </c>
      <c r="B14" s="386">
        <v>2195873</v>
      </c>
      <c r="C14" s="217">
        <v>5463594</v>
      </c>
      <c r="D14" s="386">
        <v>608876</v>
      </c>
      <c r="E14" s="386">
        <v>19444</v>
      </c>
      <c r="F14" s="386">
        <v>5161732</v>
      </c>
      <c r="G14" s="386">
        <v>18689</v>
      </c>
      <c r="H14" s="386">
        <f t="shared" si="0"/>
        <v>8268343</v>
      </c>
      <c r="I14" s="388">
        <f t="shared" si="1"/>
        <v>3107366</v>
      </c>
      <c r="J14" s="384">
        <f t="shared" si="2"/>
        <v>3106611</v>
      </c>
      <c r="K14" s="225">
        <f t="shared" si="4"/>
        <v>0.48738746243960174</v>
      </c>
      <c r="L14" s="460">
        <f t="shared" si="3"/>
        <v>0.6020006462946933</v>
      </c>
    </row>
    <row r="15" spans="1:12" ht="21.65" customHeight="1">
      <c r="A15" s="458">
        <v>1999</v>
      </c>
      <c r="B15" s="387">
        <v>3058921</v>
      </c>
      <c r="C15" s="227">
        <v>6355413</v>
      </c>
      <c r="D15" s="387">
        <v>659975</v>
      </c>
      <c r="E15" s="387">
        <v>87217</v>
      </c>
      <c r="F15" s="387">
        <v>5510370</v>
      </c>
      <c r="G15" s="387">
        <v>378089</v>
      </c>
      <c r="H15" s="387">
        <f t="shared" si="0"/>
        <v>10074309</v>
      </c>
      <c r="I15" s="385">
        <f t="shared" si="1"/>
        <v>4273067</v>
      </c>
      <c r="J15" s="385">
        <f t="shared" si="2"/>
        <v>4563939</v>
      </c>
      <c r="K15" s="229">
        <f t="shared" si="4"/>
        <v>0.46910540135214868</v>
      </c>
      <c r="L15" s="459">
        <f t="shared" si="3"/>
        <v>0.77545917969210776</v>
      </c>
    </row>
    <row r="16" spans="1:12" ht="21.65" customHeight="1">
      <c r="A16" s="456">
        <v>2000</v>
      </c>
      <c r="B16" s="386">
        <v>4177384</v>
      </c>
      <c r="C16" s="217">
        <v>5585613</v>
      </c>
      <c r="D16" s="386">
        <v>623768</v>
      </c>
      <c r="E16" s="386">
        <v>78061</v>
      </c>
      <c r="F16" s="386">
        <v>6358615</v>
      </c>
      <c r="G16" s="386">
        <v>447869</v>
      </c>
      <c r="H16" s="386">
        <f t="shared" si="0"/>
        <v>10386765</v>
      </c>
      <c r="I16" s="388">
        <f t="shared" si="1"/>
        <v>3658342</v>
      </c>
      <c r="J16" s="384">
        <f t="shared" si="2"/>
        <v>4028150</v>
      </c>
      <c r="K16" s="225">
        <f t="shared" si="4"/>
        <v>-0.11739617904621424</v>
      </c>
      <c r="L16" s="460">
        <f t="shared" si="3"/>
        <v>0.57533629571848588</v>
      </c>
    </row>
    <row r="17" spans="1:16" ht="21.65" customHeight="1">
      <c r="A17" s="458">
        <v>2001</v>
      </c>
      <c r="B17" s="387">
        <v>3731865</v>
      </c>
      <c r="C17" s="227">
        <v>4793480</v>
      </c>
      <c r="D17" s="387">
        <v>697028</v>
      </c>
      <c r="E17" s="387">
        <v>43364</v>
      </c>
      <c r="F17" s="387">
        <v>6653166</v>
      </c>
      <c r="G17" s="387">
        <v>167488</v>
      </c>
      <c r="H17" s="387">
        <f t="shared" si="0"/>
        <v>9222373</v>
      </c>
      <c r="I17" s="385">
        <f t="shared" si="1"/>
        <v>2445083</v>
      </c>
      <c r="J17" s="385">
        <f t="shared" si="2"/>
        <v>2569207</v>
      </c>
      <c r="K17" s="229">
        <f t="shared" si="4"/>
        <v>-0.36218685997294042</v>
      </c>
      <c r="L17" s="459">
        <f t="shared" si="3"/>
        <v>0.36750668779345053</v>
      </c>
    </row>
    <row r="18" spans="1:16" ht="21.65" customHeight="1">
      <c r="A18" s="456">
        <v>2002</v>
      </c>
      <c r="B18" s="386">
        <v>2500915</v>
      </c>
      <c r="C18" s="217">
        <v>5695026</v>
      </c>
      <c r="D18" s="386">
        <v>925066</v>
      </c>
      <c r="E18" s="386">
        <v>-34153</v>
      </c>
      <c r="F18" s="386">
        <v>6376349</v>
      </c>
      <c r="G18" s="386">
        <v>212026</v>
      </c>
      <c r="H18" s="386">
        <f t="shared" si="0"/>
        <v>9121007</v>
      </c>
      <c r="I18" s="388">
        <f t="shared" si="1"/>
        <v>2498479</v>
      </c>
      <c r="J18" s="384">
        <f t="shared" si="2"/>
        <v>2744658</v>
      </c>
      <c r="K18" s="225">
        <f t="shared" si="4"/>
        <v>6.8289943161450206E-2</v>
      </c>
      <c r="L18" s="460">
        <f t="shared" si="3"/>
        <v>0.39183535907460521</v>
      </c>
    </row>
    <row r="19" spans="1:16" ht="21.65" customHeight="1">
      <c r="A19" s="458">
        <v>2003</v>
      </c>
      <c r="B19" s="387">
        <v>2505654</v>
      </c>
      <c r="C19" s="227">
        <v>6198524</v>
      </c>
      <c r="D19" s="387">
        <v>1089165</v>
      </c>
      <c r="E19" s="387">
        <v>112337</v>
      </c>
      <c r="F19" s="385">
        <v>6678668</v>
      </c>
      <c r="G19" s="385">
        <v>148980</v>
      </c>
      <c r="H19" s="387">
        <f t="shared" si="0"/>
        <v>9793343</v>
      </c>
      <c r="I19" s="385">
        <f t="shared" si="1"/>
        <v>3078032</v>
      </c>
      <c r="J19" s="385">
        <f t="shared" si="2"/>
        <v>3114675</v>
      </c>
      <c r="K19" s="229">
        <f t="shared" si="4"/>
        <v>0.13481351774975242</v>
      </c>
      <c r="L19" s="459">
        <f t="shared" si="3"/>
        <v>0.46087513258631813</v>
      </c>
    </row>
    <row r="20" spans="1:16" ht="21.65" customHeight="1">
      <c r="A20" s="456">
        <v>2004</v>
      </c>
      <c r="B20" s="388">
        <v>3257031</v>
      </c>
      <c r="C20" s="218">
        <v>6168261</v>
      </c>
      <c r="D20" s="388">
        <v>1048741</v>
      </c>
      <c r="E20" s="388">
        <v>-43227</v>
      </c>
      <c r="F20" s="388">
        <v>7005814</v>
      </c>
      <c r="G20" s="388">
        <v>189304</v>
      </c>
      <c r="H20" s="386">
        <f t="shared" si="0"/>
        <v>10474033</v>
      </c>
      <c r="I20" s="388">
        <f t="shared" si="1"/>
        <v>3235688</v>
      </c>
      <c r="J20" s="384">
        <f t="shared" si="2"/>
        <v>3468219</v>
      </c>
      <c r="K20" s="225">
        <f t="shared" si="4"/>
        <v>0.11350911411302946</v>
      </c>
      <c r="L20" s="460">
        <f t="shared" si="3"/>
        <v>0.46185753718268857</v>
      </c>
    </row>
    <row r="21" spans="1:16" ht="21.65" customHeight="1">
      <c r="A21" s="458">
        <v>2005</v>
      </c>
      <c r="B21" s="385">
        <v>3271326</v>
      </c>
      <c r="C21" s="228">
        <v>6354516</v>
      </c>
      <c r="D21" s="385">
        <v>943316</v>
      </c>
      <c r="E21" s="385">
        <v>-202987</v>
      </c>
      <c r="F21" s="385">
        <v>7113405</v>
      </c>
      <c r="G21" s="385">
        <v>262942</v>
      </c>
      <c r="H21" s="387">
        <f t="shared" si="0"/>
        <v>10569158</v>
      </c>
      <c r="I21" s="385">
        <f t="shared" si="1"/>
        <v>2989824</v>
      </c>
      <c r="J21" s="385">
        <f t="shared" si="2"/>
        <v>3455753</v>
      </c>
      <c r="K21" s="229">
        <f t="shared" si="4"/>
        <v>-3.5943520290962019E-3</v>
      </c>
      <c r="L21" s="459">
        <f t="shared" si="3"/>
        <v>0.42030841769869703</v>
      </c>
    </row>
    <row r="22" spans="1:16" ht="21.65" customHeight="1">
      <c r="A22" s="456">
        <v>2006</v>
      </c>
      <c r="B22" s="388">
        <f>'Cycle Report'!B301</f>
        <v>3036560</v>
      </c>
      <c r="C22" s="218">
        <f>'Cycle Report'!B310</f>
        <v>6780273</v>
      </c>
      <c r="D22" s="388">
        <f>'Cycle Report'!B312</f>
        <v>1108930</v>
      </c>
      <c r="E22" s="388">
        <f>'Cycle Report'!B315</f>
        <v>-86023</v>
      </c>
      <c r="F22" s="388">
        <f>'Cycle Report'!B327</f>
        <v>7729272</v>
      </c>
      <c r="G22" s="388">
        <f>'Cycle Report'!B328</f>
        <v>130008</v>
      </c>
      <c r="H22" s="386">
        <f t="shared" si="0"/>
        <v>10925763</v>
      </c>
      <c r="I22" s="388">
        <f t="shared" si="1"/>
        <v>2980460</v>
      </c>
      <c r="J22" s="384">
        <f t="shared" si="2"/>
        <v>3196491</v>
      </c>
      <c r="K22" s="225">
        <f t="shared" si="4"/>
        <v>-7.5023301723242369E-2</v>
      </c>
      <c r="L22" s="460">
        <f t="shared" si="3"/>
        <v>0.38560682040947714</v>
      </c>
    </row>
    <row r="23" spans="1:16" ht="21.65" customHeight="1">
      <c r="A23" s="458">
        <v>2007</v>
      </c>
      <c r="B23" s="385">
        <f>'Cycle Report'!C301</f>
        <v>3169908</v>
      </c>
      <c r="C23" s="228">
        <f>'Cycle Report'!C310</f>
        <v>6547647</v>
      </c>
      <c r="D23" s="385">
        <f>'Cycle Report'!C312</f>
        <v>1002801</v>
      </c>
      <c r="E23" s="385">
        <f>'Cycle Report'!C315</f>
        <v>-61613</v>
      </c>
      <c r="F23" s="385">
        <f>'Cycle Report'!C327</f>
        <v>7741635</v>
      </c>
      <c r="G23" s="385">
        <f>'Cycle Report'!C328</f>
        <v>-38459</v>
      </c>
      <c r="H23" s="387">
        <f t="shared" si="0"/>
        <v>10720356</v>
      </c>
      <c r="I23" s="385">
        <f t="shared" si="1"/>
        <v>2955567</v>
      </c>
      <c r="J23" s="385">
        <f t="shared" si="2"/>
        <v>2978721</v>
      </c>
      <c r="K23" s="229">
        <f t="shared" si="4"/>
        <v>-6.812783142514714E-2</v>
      </c>
      <c r="L23" s="459">
        <f t="shared" si="3"/>
        <v>0.38177555516373479</v>
      </c>
    </row>
    <row r="24" spans="1:16" ht="21.65" customHeight="1">
      <c r="A24" s="456">
        <v>2008</v>
      </c>
      <c r="B24" s="388">
        <f>'Cycle Report'!D301</f>
        <v>3020302</v>
      </c>
      <c r="C24" s="218">
        <f>'Cycle Report'!D310</f>
        <v>7860253</v>
      </c>
      <c r="D24" s="388">
        <f>'Cycle Report'!D312</f>
        <v>936594</v>
      </c>
      <c r="E24" s="388">
        <f>'Cycle Report'!D315</f>
        <v>127765</v>
      </c>
      <c r="F24" s="388">
        <f>'Cycle Report'!D327</f>
        <v>7418989</v>
      </c>
      <c r="G24" s="388">
        <f>'Cycle Report'!D328</f>
        <v>181597</v>
      </c>
      <c r="H24" s="386">
        <f t="shared" si="0"/>
        <v>11817149</v>
      </c>
      <c r="I24" s="388">
        <f t="shared" si="1"/>
        <v>4344328</v>
      </c>
      <c r="J24" s="384">
        <f t="shared" si="2"/>
        <v>4398160</v>
      </c>
      <c r="K24" s="225">
        <f t="shared" si="4"/>
        <v>0.47652633462482724</v>
      </c>
      <c r="L24" s="460">
        <f t="shared" si="3"/>
        <v>0.58556873450007807</v>
      </c>
    </row>
    <row r="25" spans="1:16" ht="21.65" customHeight="1">
      <c r="A25" s="458">
        <v>2009</v>
      </c>
      <c r="B25" s="385">
        <f>'Cycle Report'!E301</f>
        <v>4445751</v>
      </c>
      <c r="C25" s="228">
        <f>'Cycle Report'!E310</f>
        <v>6934641</v>
      </c>
      <c r="D25" s="385">
        <f>'Cycle Report'!E312</f>
        <v>1117555</v>
      </c>
      <c r="E25" s="385">
        <f>'Cycle Report'!E315</f>
        <v>43553</v>
      </c>
      <c r="F25" s="385">
        <f>'Cycle Report'!E327</f>
        <v>7632570</v>
      </c>
      <c r="G25" s="385">
        <f>'Cycle Report'!E328</f>
        <v>297724</v>
      </c>
      <c r="H25" s="387">
        <f t="shared" si="0"/>
        <v>12497947</v>
      </c>
      <c r="I25" s="385">
        <f t="shared" si="1"/>
        <v>4611206</v>
      </c>
      <c r="J25" s="385">
        <f t="shared" si="2"/>
        <v>4865377</v>
      </c>
      <c r="K25" s="229">
        <f t="shared" si="4"/>
        <v>0.10623010531676882</v>
      </c>
      <c r="L25" s="459">
        <f t="shared" si="3"/>
        <v>0.60414853712445482</v>
      </c>
      <c r="P25" s="445"/>
    </row>
    <row r="26" spans="1:16" ht="21.65" customHeight="1">
      <c r="A26" s="461">
        <v>2010</v>
      </c>
      <c r="B26" s="384">
        <f>'Cycle Report'!F301</f>
        <v>4662313</v>
      </c>
      <c r="C26" s="220">
        <f>'Cycle Report'!F310</f>
        <v>6797560</v>
      </c>
      <c r="D26" s="384">
        <f>'Cycle Report'!F312</f>
        <v>898779</v>
      </c>
      <c r="E26" s="384">
        <f>'Cycle Report'!F315</f>
        <v>283660</v>
      </c>
      <c r="F26" s="384">
        <f>'Cycle Report'!F327</f>
        <v>8222919</v>
      </c>
      <c r="G26" s="384">
        <f>'Cycle Report'!F328</f>
        <v>336822</v>
      </c>
      <c r="H26" s="384">
        <f t="shared" si="0"/>
        <v>12358652</v>
      </c>
      <c r="I26" s="388">
        <f t="shared" si="1"/>
        <v>4082571</v>
      </c>
      <c r="J26" s="384">
        <f t="shared" si="2"/>
        <v>4135733</v>
      </c>
      <c r="K26" s="225">
        <f t="shared" si="4"/>
        <v>-0.14996659046154079</v>
      </c>
      <c r="L26" s="460">
        <f t="shared" si="3"/>
        <v>0.49648683150107642</v>
      </c>
    </row>
    <row r="27" spans="1:16" ht="21.65" customHeight="1">
      <c r="A27" s="462">
        <v>2011</v>
      </c>
      <c r="B27" s="385">
        <f>'Cycle Report'!G301</f>
        <v>4130116</v>
      </c>
      <c r="C27" s="231">
        <f>'Cycle Report'!G310</f>
        <v>7754592</v>
      </c>
      <c r="D27" s="385">
        <f>'Cycle Report'!G312</f>
        <v>1031729</v>
      </c>
      <c r="E27" s="385">
        <f>'Cycle Report'!G315</f>
        <v>6859</v>
      </c>
      <c r="F27" s="385">
        <f>'Cycle Report'!G327</f>
        <v>7835097</v>
      </c>
      <c r="G27" s="385">
        <f>'Cycle Report'!G328</f>
        <v>520394</v>
      </c>
      <c r="H27" s="385">
        <f t="shared" si="0"/>
        <v>12916437</v>
      </c>
      <c r="I27" s="385">
        <f t="shared" si="1"/>
        <v>4567805</v>
      </c>
      <c r="J27" s="385">
        <f t="shared" si="2"/>
        <v>5081340</v>
      </c>
      <c r="K27" s="229">
        <f t="shared" si="4"/>
        <v>0.22864314499993107</v>
      </c>
      <c r="L27" s="459">
        <f t="shared" si="3"/>
        <v>0.58299278234845087</v>
      </c>
      <c r="M27" s="184" t="s">
        <v>197</v>
      </c>
    </row>
    <row r="28" spans="1:16" ht="21.65" customHeight="1">
      <c r="A28" s="461">
        <v>2012</v>
      </c>
      <c r="B28" s="384">
        <f>'Cycle Report'!H301</f>
        <v>4616296</v>
      </c>
      <c r="C28" s="220">
        <f>'Cycle Report'!H310</f>
        <v>7937249</v>
      </c>
      <c r="D28" s="384">
        <f>'Cycle Report'!H312</f>
        <v>1497547</v>
      </c>
      <c r="E28" s="384">
        <f>'Cycle Report'!H315</f>
        <v>-5794</v>
      </c>
      <c r="F28" s="384">
        <f>'Cycle Report'!H327</f>
        <v>7829354</v>
      </c>
      <c r="G28" s="384">
        <f>'Cycle Report'!H328</f>
        <v>422249</v>
      </c>
      <c r="H28" s="384">
        <f t="shared" si="0"/>
        <v>14051092</v>
      </c>
      <c r="I28" s="388">
        <f t="shared" si="1"/>
        <v>5793695</v>
      </c>
      <c r="J28" s="384">
        <f t="shared" si="2"/>
        <v>6221738</v>
      </c>
      <c r="K28" s="225">
        <f t="shared" si="4"/>
        <v>0.22442859560667069</v>
      </c>
      <c r="L28" s="460">
        <f t="shared" si="3"/>
        <v>0.73999655654859908</v>
      </c>
    </row>
    <row r="29" spans="1:16" ht="21.65" customHeight="1">
      <c r="A29" s="462">
        <v>2013</v>
      </c>
      <c r="B29" s="385">
        <f>'Cycle Report'!I301</f>
        <v>5840394</v>
      </c>
      <c r="C29" s="231">
        <f>'Cycle Report'!I310</f>
        <v>8818612</v>
      </c>
      <c r="D29" s="385">
        <f>'Cycle Report'!I312</f>
        <v>1547487</v>
      </c>
      <c r="E29" s="385">
        <f>'Cycle Report'!I315</f>
        <v>92883</v>
      </c>
      <c r="F29" s="385">
        <f>'Cycle Report'!I327</f>
        <v>8540442</v>
      </c>
      <c r="G29" s="385">
        <f>'Cycle Report'!I328</f>
        <v>250150</v>
      </c>
      <c r="H29" s="385">
        <f t="shared" si="0"/>
        <v>16206493</v>
      </c>
      <c r="I29" s="385">
        <f t="shared" si="1"/>
        <v>7508784</v>
      </c>
      <c r="J29" s="385">
        <f t="shared" si="2"/>
        <v>7666051</v>
      </c>
      <c r="K29" s="229">
        <f t="shared" si="4"/>
        <v>0.23213979759353415</v>
      </c>
      <c r="L29" s="459">
        <f t="shared" si="3"/>
        <v>0.87920320751548919</v>
      </c>
    </row>
    <row r="30" spans="1:16">
      <c r="A30" s="463">
        <v>2014</v>
      </c>
      <c r="B30" s="389">
        <f>'Cycle Report'!J301</f>
        <v>7479154</v>
      </c>
      <c r="C30" s="272">
        <f>'Cycle Report'!J310</f>
        <v>8058745</v>
      </c>
      <c r="D30" s="389">
        <f>'Cycle Report'!J312</f>
        <v>1847523</v>
      </c>
      <c r="E30" s="389">
        <f>'Cycle Report'!J315</f>
        <v>48006</v>
      </c>
      <c r="F30" s="389">
        <f>'Cycle Report'!J327</f>
        <v>9150537</v>
      </c>
      <c r="G30" s="389">
        <f>'Cycle Report'!J328</f>
        <v>611795</v>
      </c>
      <c r="H30" s="389">
        <f t="shared" si="0"/>
        <v>17385422</v>
      </c>
      <c r="I30" s="391">
        <f t="shared" si="1"/>
        <v>7671096</v>
      </c>
      <c r="J30" s="392">
        <f t="shared" si="2"/>
        <v>8234885</v>
      </c>
      <c r="K30" s="273">
        <f t="shared" si="4"/>
        <v>7.4201697849388168E-2</v>
      </c>
      <c r="L30" s="464">
        <f t="shared" si="3"/>
        <v>0.83832194766274371</v>
      </c>
    </row>
    <row r="31" spans="1:16">
      <c r="A31" s="465">
        <v>2015</v>
      </c>
      <c r="B31" s="383">
        <f>'Cycle Report'!K301</f>
        <v>7922665</v>
      </c>
      <c r="C31" s="379">
        <f>'Cycle Report'!K310</f>
        <v>8048725</v>
      </c>
      <c r="D31" s="383">
        <f>'Cycle Report'!K312</f>
        <v>1822536</v>
      </c>
      <c r="E31" s="383">
        <f>'Cycle Report'!K315</f>
        <v>-28070</v>
      </c>
      <c r="F31" s="383">
        <f>'Cycle Report'!K327</f>
        <v>9490587</v>
      </c>
      <c r="G31" s="383">
        <f>'Cycle Report'!K328</f>
        <v>-30174</v>
      </c>
      <c r="H31" s="383">
        <f>SUM(C31,B31,D31)</f>
        <v>17793926</v>
      </c>
      <c r="I31" s="383">
        <f>H31+E31-F31-G31</f>
        <v>8305443</v>
      </c>
      <c r="J31" s="383">
        <f t="shared" si="2"/>
        <v>8303339</v>
      </c>
      <c r="K31" s="380">
        <f t="shared" si="4"/>
        <v>8.3126843908567036E-3</v>
      </c>
      <c r="L31" s="466">
        <f t="shared" si="3"/>
        <v>0.87512426786667674</v>
      </c>
      <c r="N31" s="446"/>
    </row>
    <row r="32" spans="1:16">
      <c r="A32" s="381">
        <v>2016</v>
      </c>
      <c r="B32" s="376">
        <f>'Cycle Report'!L301</f>
        <v>8291068</v>
      </c>
      <c r="C32" s="376">
        <f>'Cycle Report'!L310</f>
        <v>9250745</v>
      </c>
      <c r="D32" s="376">
        <f>'Cycle Report'!L312</f>
        <v>2120194</v>
      </c>
      <c r="E32" s="376">
        <f>'Cycle Report'!L315</f>
        <v>-113707</v>
      </c>
      <c r="F32" s="376">
        <f>'Cycle Report'!L327</f>
        <v>9546923</v>
      </c>
      <c r="G32" s="376">
        <f>'Cycle Report'!L328</f>
        <v>255996</v>
      </c>
      <c r="H32" s="376">
        <f t="shared" si="0"/>
        <v>19662007</v>
      </c>
      <c r="I32" s="376">
        <f t="shared" si="1"/>
        <v>9745381</v>
      </c>
      <c r="J32" s="377">
        <f t="shared" si="2"/>
        <v>10115084</v>
      </c>
      <c r="K32" s="378">
        <f>(J32-J31)/J31</f>
        <v>0.21819475273742286</v>
      </c>
      <c r="L32" s="382">
        <f>(I32/F32)</f>
        <v>1.0207876401642708</v>
      </c>
    </row>
    <row r="33" spans="1:12">
      <c r="A33" s="559" t="s">
        <v>241</v>
      </c>
      <c r="B33" s="560">
        <f>'Cycle Report'!M204</f>
        <v>9627137</v>
      </c>
      <c r="C33" s="560">
        <f>'Cycle Report'!M213</f>
        <v>8121986</v>
      </c>
      <c r="D33" s="560">
        <f>'Cycle Report'!M215+'Cycle Report'!L264</f>
        <v>1413487</v>
      </c>
      <c r="E33" s="560">
        <f>'Cycle Report'!M218+'Cycle Report'!L267</f>
        <v>-21089</v>
      </c>
      <c r="F33" s="560">
        <f>'Cycle Report'!M230+'Cycle Report'!L279</f>
        <v>11061127</v>
      </c>
      <c r="G33" s="560">
        <f>'Cycle Report'!M231+'Cycle Report'!L280</f>
        <v>686422</v>
      </c>
      <c r="H33" s="560">
        <f>SUM(C33,B33,D33)</f>
        <v>19162610</v>
      </c>
      <c r="I33" s="560">
        <f>H33+E33-F33-G33</f>
        <v>7393972</v>
      </c>
      <c r="J33" s="561">
        <f>(H33-F33)</f>
        <v>8101483</v>
      </c>
      <c r="K33" s="562">
        <f>(J33-J32)/J32</f>
        <v>-0.19906913279217453</v>
      </c>
      <c r="L33" s="563">
        <f>(I33/F33)</f>
        <v>0.66846461486248188</v>
      </c>
    </row>
    <row r="34" spans="1:12" ht="41.5" customHeight="1">
      <c r="A34" s="593" t="s">
        <v>179</v>
      </c>
      <c r="B34" s="594">
        <f>(B33-B32)/B32</f>
        <v>0.16114558462190878</v>
      </c>
      <c r="C34" s="594">
        <f t="shared" ref="C34:I34" si="5">(C33-C32)/C32</f>
        <v>-0.1220181725904238</v>
      </c>
      <c r="D34" s="594">
        <f t="shared" si="5"/>
        <v>-0.33332185639615997</v>
      </c>
      <c r="E34" s="594">
        <f>-((E33-E32)/E32)</f>
        <v>0.81453208685481104</v>
      </c>
      <c r="F34" s="594">
        <f t="shared" si="5"/>
        <v>0.15860649551693251</v>
      </c>
      <c r="G34" s="594">
        <f>((G33-G32)/G32)</f>
        <v>1.6813778340286567</v>
      </c>
      <c r="H34" s="594">
        <f t="shared" si="5"/>
        <v>-2.5399085657939191E-2</v>
      </c>
      <c r="I34" s="595">
        <f t="shared" si="5"/>
        <v>-0.24128446081276864</v>
      </c>
    </row>
    <row r="35" spans="1:12" ht="41.5" customHeight="1">
      <c r="A35" s="660" t="s">
        <v>276</v>
      </c>
      <c r="B35" s="661">
        <f>'Cycle Report'!M204</f>
        <v>9627137</v>
      </c>
      <c r="C35" s="661">
        <f>'Cycle Report'!M213</f>
        <v>8121986</v>
      </c>
      <c r="D35" s="661">
        <f>'Cycle Report'!M215+'Cycle Report'!L264</f>
        <v>1413487</v>
      </c>
      <c r="E35" s="661">
        <f>'Cycle Report'!M218+'Cycle Report'!L267</f>
        <v>-21089</v>
      </c>
      <c r="F35" s="738">
        <f>F33-700000</f>
        <v>10361127</v>
      </c>
      <c r="G35" s="738">
        <f>G33+700000</f>
        <v>1386422</v>
      </c>
      <c r="H35" s="661">
        <f>SUM(C35,B35,D35)</f>
        <v>19162610</v>
      </c>
      <c r="I35" s="661">
        <f>H35+E35-F35-G35</f>
        <v>7393972</v>
      </c>
      <c r="J35" s="662">
        <f>(H35-F35)</f>
        <v>8801483</v>
      </c>
      <c r="K35" s="663">
        <f>(J35-J32)/J32</f>
        <v>-0.12986555524402962</v>
      </c>
      <c r="L35" s="664">
        <f>(I35/F35)</f>
        <v>0.7136262300423496</v>
      </c>
    </row>
    <row r="36" spans="1:12" s="260" customFormat="1" ht="48.75" customHeight="1">
      <c r="A36" s="805" t="s">
        <v>351</v>
      </c>
      <c r="B36" s="805"/>
      <c r="C36" s="805"/>
      <c r="D36" s="805"/>
      <c r="E36" s="805"/>
      <c r="F36" s="805"/>
      <c r="G36" s="805"/>
      <c r="H36" s="805"/>
      <c r="I36" s="805"/>
      <c r="J36" s="805"/>
      <c r="K36" s="805"/>
      <c r="L36" s="805"/>
    </row>
    <row r="37" spans="1:12" ht="40.5" customHeight="1">
      <c r="A37" s="804" t="s">
        <v>352</v>
      </c>
      <c r="B37" s="804"/>
      <c r="C37" s="804"/>
      <c r="D37" s="804"/>
      <c r="E37" s="804"/>
      <c r="F37" s="804"/>
      <c r="G37" s="804"/>
      <c r="H37" s="804"/>
      <c r="I37" s="804"/>
      <c r="J37" s="804"/>
      <c r="K37" s="804"/>
      <c r="L37" s="804"/>
    </row>
    <row r="38" spans="1:12">
      <c r="A38" s="221" t="s">
        <v>20</v>
      </c>
      <c r="G38" s="665"/>
    </row>
    <row r="39" spans="1:12">
      <c r="A39" s="682" t="s">
        <v>276</v>
      </c>
    </row>
    <row r="40" spans="1:12">
      <c r="A40" s="184" t="s">
        <v>347</v>
      </c>
    </row>
    <row r="41" spans="1:12">
      <c r="A41" s="184" t="s">
        <v>348</v>
      </c>
    </row>
    <row r="42" spans="1:12">
      <c r="A42" s="184" t="s">
        <v>346</v>
      </c>
    </row>
    <row r="43" spans="1:12">
      <c r="A43" s="184" t="s">
        <v>350</v>
      </c>
    </row>
    <row r="51" spans="1:1">
      <c r="A51" s="216">
        <v>1988</v>
      </c>
    </row>
    <row r="52" spans="1:1">
      <c r="A52" s="226">
        <v>1989</v>
      </c>
    </row>
    <row r="53" spans="1:1">
      <c r="A53" s="216">
        <v>1990</v>
      </c>
    </row>
    <row r="54" spans="1:1">
      <c r="A54" s="226">
        <v>1991</v>
      </c>
    </row>
    <row r="55" spans="1:1">
      <c r="A55" s="216">
        <v>1992</v>
      </c>
    </row>
    <row r="56" spans="1:1">
      <c r="A56" s="226">
        <v>1993</v>
      </c>
    </row>
    <row r="57" spans="1:1">
      <c r="A57" s="216">
        <v>1994</v>
      </c>
    </row>
    <row r="58" spans="1:1">
      <c r="A58" s="226">
        <v>1995</v>
      </c>
    </row>
    <row r="59" spans="1:1">
      <c r="A59" s="216">
        <v>1996</v>
      </c>
    </row>
    <row r="60" spans="1:1">
      <c r="A60" s="226">
        <v>1997</v>
      </c>
    </row>
    <row r="61" spans="1:1">
      <c r="A61" s="216">
        <v>1998</v>
      </c>
    </row>
    <row r="62" spans="1:1">
      <c r="A62" s="226">
        <v>1999</v>
      </c>
    </row>
    <row r="63" spans="1:1">
      <c r="A63" s="216">
        <v>2000</v>
      </c>
    </row>
    <row r="64" spans="1:1">
      <c r="A64" s="226">
        <v>2001</v>
      </c>
    </row>
    <row r="65" spans="1:1">
      <c r="A65" s="216">
        <v>2002</v>
      </c>
    </row>
    <row r="66" spans="1:1">
      <c r="A66" s="226">
        <v>2003</v>
      </c>
    </row>
    <row r="67" spans="1:1">
      <c r="A67" s="216">
        <v>2004</v>
      </c>
    </row>
    <row r="68" spans="1:1">
      <c r="A68" s="226">
        <v>2005</v>
      </c>
    </row>
    <row r="69" spans="1:1">
      <c r="A69" s="216">
        <v>2006</v>
      </c>
    </row>
    <row r="70" spans="1:1">
      <c r="A70" s="226">
        <v>2007</v>
      </c>
    </row>
    <row r="71" spans="1:1">
      <c r="A71" s="216">
        <v>2008</v>
      </c>
    </row>
    <row r="72" spans="1:1">
      <c r="A72" s="226">
        <v>2009</v>
      </c>
    </row>
    <row r="73" spans="1:1">
      <c r="A73" s="219">
        <v>2010</v>
      </c>
    </row>
    <row r="74" spans="1:1">
      <c r="A74" s="230">
        <v>2011</v>
      </c>
    </row>
    <row r="75" spans="1:1">
      <c r="A75" s="219">
        <v>2012</v>
      </c>
    </row>
    <row r="76" spans="1:1">
      <c r="A76" s="230">
        <v>2013</v>
      </c>
    </row>
    <row r="77" spans="1:1">
      <c r="A77" s="271">
        <v>2014</v>
      </c>
    </row>
    <row r="78" spans="1:1">
      <c r="A78" s="286">
        <v>2015</v>
      </c>
    </row>
    <row r="79" spans="1:1">
      <c r="A79" s="184" t="s">
        <v>229</v>
      </c>
    </row>
    <row r="82" spans="1:2">
      <c r="A82" s="216">
        <v>1988</v>
      </c>
      <c r="B82" s="184">
        <v>883773</v>
      </c>
    </row>
    <row r="83" spans="1:2">
      <c r="A83" s="226">
        <v>1989</v>
      </c>
      <c r="B83" s="184">
        <v>985452</v>
      </c>
    </row>
    <row r="84" spans="1:2">
      <c r="A84" s="216">
        <v>1990</v>
      </c>
      <c r="B84" s="184">
        <v>1216958</v>
      </c>
    </row>
    <row r="85" spans="1:2">
      <c r="A85" s="226">
        <v>1991</v>
      </c>
      <c r="B85" s="184">
        <v>1261045</v>
      </c>
    </row>
    <row r="86" spans="1:2">
      <c r="A86" s="216">
        <v>1992</v>
      </c>
      <c r="B86" s="184">
        <v>1151398</v>
      </c>
    </row>
    <row r="87" spans="1:2">
      <c r="A87" s="226">
        <v>1993</v>
      </c>
      <c r="B87" s="184">
        <v>1428245</v>
      </c>
    </row>
    <row r="88" spans="1:2">
      <c r="A88" s="216">
        <v>1994</v>
      </c>
      <c r="B88" s="184">
        <v>1213923</v>
      </c>
    </row>
    <row r="89" spans="1:2">
      <c r="A89" s="226">
        <v>1995</v>
      </c>
      <c r="B89" s="184">
        <v>1256548</v>
      </c>
    </row>
    <row r="90" spans="1:2">
      <c r="A90" s="216">
        <v>1996</v>
      </c>
      <c r="B90" s="184">
        <v>983858</v>
      </c>
    </row>
    <row r="91" spans="1:2">
      <c r="A91" s="226">
        <v>1997</v>
      </c>
      <c r="B91" s="184">
        <v>1251968</v>
      </c>
    </row>
    <row r="92" spans="1:2">
      <c r="A92" s="216">
        <v>1998</v>
      </c>
      <c r="B92" s="184">
        <v>2195873</v>
      </c>
    </row>
    <row r="93" spans="1:2">
      <c r="A93" s="226">
        <v>1999</v>
      </c>
      <c r="B93" s="184">
        <v>3058921</v>
      </c>
    </row>
    <row r="94" spans="1:2">
      <c r="A94" s="216">
        <v>2000</v>
      </c>
      <c r="B94" s="184">
        <v>4177384</v>
      </c>
    </row>
    <row r="95" spans="1:2">
      <c r="A95" s="226">
        <v>2001</v>
      </c>
      <c r="B95" s="184">
        <v>3731865</v>
      </c>
    </row>
    <row r="96" spans="1:2">
      <c r="A96" s="216">
        <v>2002</v>
      </c>
      <c r="B96" s="184">
        <v>2500915</v>
      </c>
    </row>
    <row r="97" spans="1:2">
      <c r="A97" s="226">
        <v>2003</v>
      </c>
      <c r="B97" s="184">
        <v>2505654</v>
      </c>
    </row>
    <row r="98" spans="1:2">
      <c r="A98" s="216">
        <v>2004</v>
      </c>
      <c r="B98" s="184">
        <v>3257031</v>
      </c>
    </row>
    <row r="99" spans="1:2">
      <c r="A99" s="226">
        <v>2005</v>
      </c>
      <c r="B99" s="184">
        <v>3271326</v>
      </c>
    </row>
    <row r="100" spans="1:2">
      <c r="A100" s="216">
        <v>2006</v>
      </c>
      <c r="B100" s="184">
        <v>3036560</v>
      </c>
    </row>
    <row r="101" spans="1:2">
      <c r="A101" s="226">
        <v>2007</v>
      </c>
      <c r="B101" s="184">
        <v>3169908</v>
      </c>
    </row>
    <row r="102" spans="1:2">
      <c r="A102" s="216">
        <v>2008</v>
      </c>
      <c r="B102" s="184">
        <v>3020302</v>
      </c>
    </row>
    <row r="103" spans="1:2">
      <c r="A103" s="226">
        <v>2009</v>
      </c>
      <c r="B103" s="184">
        <v>4445751</v>
      </c>
    </row>
    <row r="104" spans="1:2">
      <c r="A104" s="219">
        <v>2010</v>
      </c>
      <c r="B104" s="184">
        <v>4662313</v>
      </c>
    </row>
    <row r="105" spans="1:2">
      <c r="A105" s="230">
        <v>2011</v>
      </c>
      <c r="B105" s="184">
        <v>4130116</v>
      </c>
    </row>
    <row r="106" spans="1:2">
      <c r="A106" s="219">
        <v>2012</v>
      </c>
      <c r="B106" s="184">
        <v>4616296</v>
      </c>
    </row>
    <row r="107" spans="1:2">
      <c r="A107" s="230">
        <v>2013</v>
      </c>
      <c r="B107" s="184">
        <v>5840394</v>
      </c>
    </row>
    <row r="108" spans="1:2">
      <c r="A108" s="271">
        <v>2014</v>
      </c>
      <c r="B108" s="184">
        <v>7479154</v>
      </c>
    </row>
    <row r="109" spans="1:2">
      <c r="A109" s="286">
        <v>2015</v>
      </c>
      <c r="B109" s="184">
        <v>7716536</v>
      </c>
    </row>
    <row r="110" spans="1:2">
      <c r="A110" s="564">
        <v>2016</v>
      </c>
      <c r="B110" s="184">
        <v>8302779</v>
      </c>
    </row>
    <row r="111" spans="1:2">
      <c r="A111" s="564">
        <v>2017</v>
      </c>
      <c r="B111" s="184">
        <v>9745381</v>
      </c>
    </row>
    <row r="112" spans="1:2">
      <c r="A112" s="184">
        <v>2018</v>
      </c>
      <c r="B112" s="184">
        <v>7393972</v>
      </c>
    </row>
  </sheetData>
  <mergeCells count="4">
    <mergeCell ref="A37:L37"/>
    <mergeCell ref="A36:L36"/>
    <mergeCell ref="A1:L1"/>
    <mergeCell ref="B3:J3"/>
  </mergeCells>
  <phoneticPr fontId="0" type="noConversion"/>
  <pageMargins left="0.63" right="0.37" top="0.73" bottom="0.31" header="0.31" footer="0.2"/>
  <pageSetup scale="58" orientation="landscape" r:id="rId1"/>
  <headerFooter alignWithMargins="0"/>
</worksheet>
</file>

<file path=xl/worksheets/sheet9.xml><?xml version="1.0" encoding="utf-8"?>
<worksheet xmlns="http://schemas.openxmlformats.org/spreadsheetml/2006/main" xmlns:r="http://schemas.openxmlformats.org/officeDocument/2006/relationships">
  <dimension ref="B1:O295"/>
  <sheetViews>
    <sheetView view="pageBreakPreview" zoomScale="60" zoomScaleNormal="100" zoomScalePageLayoutView="86" workbookViewId="0">
      <selection activeCell="H25" sqref="H25"/>
    </sheetView>
  </sheetViews>
  <sheetFormatPr defaultRowHeight="12.5"/>
  <cols>
    <col min="1" max="1" width="4.1796875" customWidth="1"/>
    <col min="2" max="2" width="3.81640625" customWidth="1"/>
    <col min="3" max="3" width="1.1796875" customWidth="1"/>
    <col min="4" max="4" width="48.7265625" customWidth="1"/>
    <col min="5" max="5" width="19.7265625" customWidth="1"/>
    <col min="6" max="6" width="17.54296875" customWidth="1"/>
    <col min="7" max="7" width="14.453125" bestFit="1" customWidth="1"/>
    <col min="8" max="8" width="10" customWidth="1"/>
    <col min="14" max="14" width="29.7265625" customWidth="1"/>
  </cols>
  <sheetData>
    <row r="1" spans="2:15" ht="15.75" customHeight="1">
      <c r="B1" s="821" t="s">
        <v>243</v>
      </c>
      <c r="C1" s="822"/>
      <c r="D1" s="822"/>
      <c r="E1" s="822"/>
      <c r="F1" s="822"/>
      <c r="G1" s="822"/>
    </row>
    <row r="2" spans="2:15" ht="15.75" customHeight="1">
      <c r="B2" s="821" t="s">
        <v>37</v>
      </c>
      <c r="C2" s="822"/>
      <c r="D2" s="822"/>
      <c r="E2" s="822"/>
      <c r="F2" s="822"/>
      <c r="G2" s="822"/>
    </row>
    <row r="3" spans="2:15" ht="15.75" customHeight="1">
      <c r="B3" s="821" t="s">
        <v>249</v>
      </c>
      <c r="C3" s="822"/>
      <c r="D3" s="822"/>
      <c r="E3" s="822"/>
      <c r="F3" s="822"/>
      <c r="G3" s="822"/>
    </row>
    <row r="4" spans="2:15" ht="16.5" customHeight="1" thickBot="1">
      <c r="B4" s="823">
        <v>43327</v>
      </c>
      <c r="C4" s="824"/>
      <c r="D4" s="824"/>
      <c r="E4" s="824"/>
      <c r="F4" s="824"/>
      <c r="G4" s="824"/>
    </row>
    <row r="5" spans="2:15" s="183" customFormat="1" ht="40.5" customHeight="1" thickTop="1">
      <c r="B5" s="812"/>
      <c r="C5" s="813"/>
      <c r="D5" s="814"/>
      <c r="E5" s="629" t="s">
        <v>269</v>
      </c>
      <c r="F5" s="442" t="s">
        <v>245</v>
      </c>
      <c r="G5" s="429" t="s">
        <v>246</v>
      </c>
      <c r="H5" s="436" t="s">
        <v>155</v>
      </c>
      <c r="J5" s="250" t="s">
        <v>150</v>
      </c>
    </row>
    <row r="6" spans="2:15" s="183" customFormat="1" ht="19.75" customHeight="1">
      <c r="B6" s="815"/>
      <c r="C6" s="816"/>
      <c r="D6" s="817"/>
      <c r="E6" s="818" t="s">
        <v>23</v>
      </c>
      <c r="F6" s="819"/>
      <c r="G6" s="820"/>
      <c r="H6" s="270"/>
    </row>
    <row r="7" spans="2:15" s="183" customFormat="1" ht="33.65" customHeight="1" thickBot="1">
      <c r="B7" s="650">
        <v>1</v>
      </c>
      <c r="C7" s="651"/>
      <c r="D7" s="652" t="s">
        <v>235</v>
      </c>
      <c r="E7" s="631">
        <f>'total available supply and Sale'!I33/1000</f>
        <v>7393.9719999999998</v>
      </c>
      <c r="F7" s="427">
        <v>8026.1008999999985</v>
      </c>
      <c r="G7" s="430">
        <f>'total available supply and Sale'!B33/1000</f>
        <v>9627.1370000000006</v>
      </c>
      <c r="H7" s="270"/>
      <c r="I7" s="252"/>
      <c r="J7" s="811" t="s">
        <v>154</v>
      </c>
      <c r="K7" s="811"/>
      <c r="L7" s="811"/>
      <c r="M7" s="811"/>
      <c r="N7" s="811"/>
      <c r="O7" s="811"/>
    </row>
    <row r="8" spans="2:15" s="183" customFormat="1" ht="18">
      <c r="B8" s="262"/>
      <c r="C8" s="263"/>
      <c r="D8" s="437" t="s">
        <v>15</v>
      </c>
      <c r="E8" s="632"/>
      <c r="F8" s="428"/>
      <c r="G8" s="431"/>
      <c r="H8" s="433"/>
      <c r="J8" s="249"/>
      <c r="K8" s="248"/>
      <c r="L8" s="248"/>
      <c r="M8" s="248"/>
      <c r="N8" s="248"/>
      <c r="O8" s="248"/>
    </row>
    <row r="9" spans="2:15" s="183" customFormat="1" ht="31.15" customHeight="1" thickBot="1">
      <c r="B9" s="438">
        <v>2</v>
      </c>
      <c r="C9" s="264"/>
      <c r="D9" s="439" t="s">
        <v>38</v>
      </c>
      <c r="E9" s="633">
        <f>Estimate!D40</f>
        <v>9237.5</v>
      </c>
      <c r="F9" s="427">
        <v>8967.4999999999982</v>
      </c>
      <c r="G9" s="468">
        <f>'total available supply and Sale'!C33/1000</f>
        <v>8121.9859999999999</v>
      </c>
      <c r="H9" s="433"/>
      <c r="I9" s="251"/>
      <c r="J9" s="810" t="s">
        <v>180</v>
      </c>
      <c r="K9" s="810"/>
      <c r="L9" s="810"/>
      <c r="M9" s="810"/>
      <c r="N9" s="810"/>
      <c r="O9" s="810"/>
    </row>
    <row r="10" spans="2:15" s="183" customFormat="1" ht="31.9" customHeight="1" thickBot="1">
      <c r="B10" s="438">
        <v>3</v>
      </c>
      <c r="C10" s="264"/>
      <c r="D10" s="439" t="s">
        <v>16</v>
      </c>
      <c r="E10" s="633">
        <f>G10*(1+H10)</f>
        <v>1766.8587500000001</v>
      </c>
      <c r="F10" s="427">
        <v>1755.355</v>
      </c>
      <c r="G10" s="468">
        <f>'total available supply and Sale'!D33/1000</f>
        <v>1413.4870000000001</v>
      </c>
      <c r="H10" s="254">
        <v>0.25</v>
      </c>
      <c r="I10" s="251"/>
      <c r="J10" s="810" t="s">
        <v>181</v>
      </c>
      <c r="K10" s="810"/>
      <c r="L10" s="810"/>
      <c r="M10" s="810"/>
      <c r="N10" s="810"/>
      <c r="O10" s="810"/>
    </row>
    <row r="11" spans="2:15" s="183" customFormat="1" ht="26.25" customHeight="1" thickBot="1">
      <c r="B11" s="438">
        <v>4</v>
      </c>
      <c r="C11" s="264"/>
      <c r="D11" s="439" t="s">
        <v>39</v>
      </c>
      <c r="E11" s="633">
        <f>(E9+E10)</f>
        <v>11004.358749999999</v>
      </c>
      <c r="F11" s="467">
        <v>10722.854999999998</v>
      </c>
      <c r="G11" s="469">
        <f>(G9+G10)</f>
        <v>9535.473</v>
      </c>
      <c r="H11" s="433"/>
      <c r="I11" s="251"/>
      <c r="J11" s="811" t="s">
        <v>182</v>
      </c>
      <c r="K11" s="811"/>
      <c r="L11" s="811"/>
      <c r="M11" s="811"/>
      <c r="N11" s="811"/>
      <c r="O11" s="811"/>
    </row>
    <row r="12" spans="2:15" s="183" customFormat="1" ht="18" customHeight="1">
      <c r="B12" s="438"/>
      <c r="C12" s="264"/>
      <c r="D12" s="439"/>
      <c r="E12" s="633"/>
      <c r="F12" s="467"/>
      <c r="G12" s="468"/>
      <c r="H12" s="433"/>
      <c r="J12" s="811"/>
      <c r="K12" s="811"/>
      <c r="L12" s="811"/>
      <c r="M12" s="811"/>
      <c r="N12" s="811"/>
      <c r="O12" s="811"/>
    </row>
    <row r="13" spans="2:15" s="183" customFormat="1" ht="15.65" customHeight="1" thickBot="1">
      <c r="B13" s="438">
        <v>5</v>
      </c>
      <c r="C13" s="264"/>
      <c r="D13" s="439" t="s">
        <v>17</v>
      </c>
      <c r="E13" s="633">
        <f>(E7+E11)</f>
        <v>18398.330750000001</v>
      </c>
      <c r="F13" s="467">
        <v>18748.955899999997</v>
      </c>
      <c r="G13" s="469">
        <f>(G7+G11)</f>
        <v>19162.61</v>
      </c>
      <c r="H13" s="433"/>
      <c r="I13" s="251"/>
      <c r="J13" s="811" t="s">
        <v>186</v>
      </c>
      <c r="K13" s="811"/>
      <c r="L13" s="811"/>
      <c r="M13" s="811"/>
      <c r="N13" s="811"/>
      <c r="O13" s="811"/>
    </row>
    <row r="14" spans="2:15" s="183" customFormat="1" ht="16.899999999999999" customHeight="1">
      <c r="B14" s="438"/>
      <c r="C14" s="264"/>
      <c r="D14" s="439"/>
      <c r="E14" s="633"/>
      <c r="F14" s="467"/>
      <c r="G14" s="468"/>
      <c r="H14" s="433"/>
      <c r="J14" s="811"/>
      <c r="K14" s="811"/>
      <c r="L14" s="811"/>
      <c r="M14" s="811"/>
      <c r="N14" s="811"/>
      <c r="O14" s="811"/>
    </row>
    <row r="15" spans="2:15" s="183" customFormat="1" ht="18">
      <c r="B15" s="262"/>
      <c r="C15" s="263"/>
      <c r="D15" s="437" t="s">
        <v>18</v>
      </c>
      <c r="E15" s="634"/>
      <c r="F15" s="470"/>
      <c r="G15" s="471"/>
      <c r="H15" s="434"/>
      <c r="J15" s="249"/>
      <c r="K15" s="248"/>
      <c r="L15" s="248"/>
      <c r="M15" s="248"/>
      <c r="N15" s="248"/>
      <c r="O15" s="248"/>
    </row>
    <row r="16" spans="2:15" s="183" customFormat="1" ht="18" thickBot="1">
      <c r="B16" s="438">
        <v>6</v>
      </c>
      <c r="C16" s="264"/>
      <c r="D16" s="439" t="s">
        <v>183</v>
      </c>
      <c r="E16" s="633">
        <f>0.02*E7</f>
        <v>147.87943999999999</v>
      </c>
      <c r="F16" s="467">
        <v>160.52201799999997</v>
      </c>
      <c r="G16" s="468" t="s">
        <v>288</v>
      </c>
      <c r="H16" s="433"/>
      <c r="I16" s="251"/>
      <c r="J16" s="249" t="s">
        <v>185</v>
      </c>
      <c r="K16" s="248"/>
      <c r="L16" s="248"/>
      <c r="M16" s="248"/>
      <c r="N16" s="248"/>
      <c r="O16" s="248"/>
    </row>
    <row r="17" spans="2:15" s="183" customFormat="1" ht="31.15" customHeight="1" thickBot="1">
      <c r="B17" s="438">
        <v>7</v>
      </c>
      <c r="C17" s="264"/>
      <c r="D17" s="439" t="s">
        <v>115</v>
      </c>
      <c r="E17" s="633">
        <f>(0.04*E11)</f>
        <v>440.17435</v>
      </c>
      <c r="F17" s="467">
        <v>428.91419999999994</v>
      </c>
      <c r="G17" s="468" t="s">
        <v>288</v>
      </c>
      <c r="H17" s="433"/>
      <c r="I17" s="251"/>
      <c r="J17" s="810" t="s">
        <v>184</v>
      </c>
      <c r="K17" s="810"/>
      <c r="L17" s="810"/>
      <c r="M17" s="810"/>
      <c r="N17" s="810"/>
      <c r="O17" s="810"/>
    </row>
    <row r="18" spans="2:15" s="183" customFormat="1" ht="11.9" customHeight="1">
      <c r="B18" s="438"/>
      <c r="C18" s="264"/>
      <c r="D18" s="439"/>
      <c r="E18" s="633"/>
      <c r="F18" s="467"/>
      <c r="G18" s="468"/>
      <c r="H18" s="433"/>
      <c r="J18" s="249"/>
      <c r="K18" s="248"/>
      <c r="L18" s="248"/>
      <c r="M18" s="248"/>
      <c r="N18" s="248"/>
      <c r="O18" s="248"/>
    </row>
    <row r="19" spans="2:15" s="183" customFormat="1" ht="16.149999999999999" customHeight="1" thickBot="1">
      <c r="B19" s="440">
        <v>8</v>
      </c>
      <c r="C19" s="432"/>
      <c r="D19" s="441" t="s">
        <v>40</v>
      </c>
      <c r="E19" s="635">
        <f>(E16+E17)</f>
        <v>588.05378999999994</v>
      </c>
      <c r="F19" s="472">
        <v>589.43621799999994</v>
      </c>
      <c r="G19" s="473">
        <f>'total available supply and Sale'!G33/1000</f>
        <v>686.42200000000003</v>
      </c>
      <c r="H19" s="433"/>
      <c r="I19" s="443"/>
      <c r="J19" s="811" t="s">
        <v>192</v>
      </c>
      <c r="K19" s="811"/>
      <c r="L19" s="811"/>
      <c r="M19" s="811"/>
      <c r="N19" s="811"/>
      <c r="O19" s="811"/>
    </row>
    <row r="20" spans="2:15" s="183" customFormat="1" ht="31.9" customHeight="1">
      <c r="B20" s="438"/>
      <c r="C20" s="264"/>
      <c r="D20" s="439"/>
      <c r="E20" s="633"/>
      <c r="F20" s="467"/>
      <c r="G20" s="468"/>
      <c r="H20" s="433"/>
      <c r="J20" s="811"/>
      <c r="K20" s="811"/>
      <c r="L20" s="811"/>
      <c r="M20" s="811"/>
      <c r="N20" s="811"/>
      <c r="O20" s="811"/>
    </row>
    <row r="21" spans="2:15" s="183" customFormat="1" ht="19.149999999999999" customHeight="1" thickBot="1">
      <c r="B21" s="438">
        <v>9</v>
      </c>
      <c r="C21" s="264"/>
      <c r="D21" s="439" t="s">
        <v>19</v>
      </c>
      <c r="E21" s="633">
        <f>(E13-E19)</f>
        <v>17810.276960000003</v>
      </c>
      <c r="F21" s="467">
        <v>18159.519681999998</v>
      </c>
      <c r="G21" s="469">
        <f>(G13-G19)</f>
        <v>18476.188000000002</v>
      </c>
      <c r="H21" s="433"/>
      <c r="I21" s="251"/>
      <c r="J21" s="811" t="s">
        <v>187</v>
      </c>
      <c r="K21" s="811"/>
      <c r="L21" s="811"/>
      <c r="M21" s="811"/>
      <c r="N21" s="811"/>
      <c r="O21" s="811"/>
    </row>
    <row r="22" spans="2:15" s="183" customFormat="1" ht="15.65" customHeight="1">
      <c r="B22" s="438"/>
      <c r="C22" s="264"/>
      <c r="D22" s="439"/>
      <c r="E22" s="633"/>
      <c r="F22" s="467"/>
      <c r="G22" s="468"/>
      <c r="H22" s="433"/>
      <c r="J22" s="811"/>
      <c r="K22" s="811"/>
      <c r="L22" s="811"/>
      <c r="M22" s="811"/>
      <c r="N22" s="811"/>
      <c r="O22" s="811"/>
    </row>
    <row r="23" spans="2:15" s="183" customFormat="1" ht="18">
      <c r="B23" s="262" t="s">
        <v>20</v>
      </c>
      <c r="C23" s="263"/>
      <c r="D23" s="437" t="s">
        <v>21</v>
      </c>
      <c r="E23" s="634"/>
      <c r="F23" s="470"/>
      <c r="G23" s="471"/>
      <c r="H23" s="433"/>
      <c r="J23" s="249"/>
      <c r="K23" s="248"/>
      <c r="L23" s="248"/>
      <c r="M23" s="248"/>
      <c r="N23" s="248"/>
      <c r="O23" s="248"/>
    </row>
    <row r="24" spans="2:15" s="183" customFormat="1" ht="18" thickBot="1">
      <c r="B24" s="438">
        <v>10</v>
      </c>
      <c r="C24" s="264"/>
      <c r="D24" s="439" t="s">
        <v>41</v>
      </c>
      <c r="E24" s="633">
        <f>G24*(1+H24)</f>
        <v>329.94499999999999</v>
      </c>
      <c r="F24" s="467">
        <v>323.97399999999999</v>
      </c>
      <c r="G24" s="468">
        <f>Sales!G34/1000</f>
        <v>329.94499999999999</v>
      </c>
      <c r="H24" s="254">
        <v>0</v>
      </c>
      <c r="I24" s="251"/>
      <c r="J24" s="249" t="s">
        <v>188</v>
      </c>
      <c r="K24" s="248"/>
      <c r="L24" s="248"/>
      <c r="M24" s="248"/>
      <c r="N24" s="248"/>
      <c r="O24" s="248"/>
    </row>
    <row r="25" spans="2:15" s="183" customFormat="1" ht="18" thickBot="1">
      <c r="B25" s="438">
        <v>11</v>
      </c>
      <c r="C25" s="264"/>
      <c r="D25" s="439" t="s">
        <v>42</v>
      </c>
      <c r="E25" s="633">
        <f>G25*(1+H25)</f>
        <v>9658.0638000000017</v>
      </c>
      <c r="F25" s="467">
        <v>9729.2592800000002</v>
      </c>
      <c r="G25" s="468">
        <f>Sales!H34/1000</f>
        <v>10731.182000000001</v>
      </c>
      <c r="H25" s="254">
        <v>-0.1</v>
      </c>
      <c r="I25" s="251"/>
      <c r="J25" s="249" t="s">
        <v>189</v>
      </c>
      <c r="K25" s="248"/>
      <c r="L25" s="248"/>
      <c r="M25" s="248"/>
      <c r="N25" s="248"/>
      <c r="O25" s="248"/>
    </row>
    <row r="26" spans="2:15" s="183" customFormat="1" ht="31.15" customHeight="1" thickBot="1">
      <c r="B26" s="438">
        <v>12</v>
      </c>
      <c r="C26" s="264"/>
      <c r="D26" s="439" t="s">
        <v>22</v>
      </c>
      <c r="E26" s="633">
        <f>E24+E25</f>
        <v>9988.0088000000014</v>
      </c>
      <c r="F26" s="467">
        <v>10053.23328</v>
      </c>
      <c r="G26" s="468">
        <f>Sales!F34/1000</f>
        <v>11061.127</v>
      </c>
      <c r="H26" s="433"/>
      <c r="I26" s="251"/>
      <c r="J26" s="810" t="s">
        <v>190</v>
      </c>
      <c r="K26" s="810"/>
      <c r="L26" s="810"/>
      <c r="M26" s="810"/>
      <c r="N26" s="810"/>
      <c r="O26" s="810"/>
    </row>
    <row r="27" spans="2:15" s="183" customFormat="1" ht="26.5" customHeight="1" thickBot="1">
      <c r="B27" s="438">
        <v>13</v>
      </c>
      <c r="C27" s="264"/>
      <c r="D27" s="439" t="s">
        <v>234</v>
      </c>
      <c r="E27" s="633">
        <f>(E21-E26)</f>
        <v>7822.2681600000014</v>
      </c>
      <c r="F27" s="467">
        <v>8106.2864019999979</v>
      </c>
      <c r="G27" s="468">
        <f>'total available supply and Sale'!I33/1000</f>
        <v>7393.9719999999998</v>
      </c>
      <c r="H27" s="433"/>
      <c r="I27" s="251"/>
      <c r="J27" s="811" t="s">
        <v>191</v>
      </c>
      <c r="K27" s="811"/>
      <c r="L27" s="811"/>
      <c r="M27" s="811"/>
      <c r="N27" s="811"/>
      <c r="O27" s="811"/>
    </row>
    <row r="28" spans="2:15" s="183" customFormat="1" ht="13.15" customHeight="1">
      <c r="B28" s="438"/>
      <c r="C28" s="264"/>
      <c r="D28" s="439"/>
      <c r="E28" s="633"/>
      <c r="F28" s="467"/>
      <c r="G28" s="468"/>
      <c r="H28" s="433"/>
      <c r="I28" s="185"/>
      <c r="J28" s="811"/>
      <c r="K28" s="811"/>
      <c r="L28" s="811"/>
      <c r="M28" s="811"/>
      <c r="N28" s="811"/>
      <c r="O28" s="811"/>
    </row>
    <row r="29" spans="2:15" s="183" customFormat="1" ht="17.5">
      <c r="B29" s="440">
        <v>14</v>
      </c>
      <c r="C29" s="432"/>
      <c r="D29" s="441" t="s">
        <v>156</v>
      </c>
      <c r="E29" s="666">
        <f>(E27/E26)</f>
        <v>0.78316592592509537</v>
      </c>
      <c r="F29" s="636">
        <v>0.80633624787427571</v>
      </c>
      <c r="G29" s="475">
        <f>'total available supply and Sale'!L33</f>
        <v>0.66846461486248188</v>
      </c>
      <c r="H29" s="435"/>
      <c r="J29" s="811"/>
      <c r="K29" s="811"/>
      <c r="L29" s="811"/>
      <c r="M29" s="811"/>
      <c r="N29" s="811"/>
      <c r="O29" s="811"/>
    </row>
    <row r="30" spans="2:15" ht="17.5" hidden="1">
      <c r="B30" s="3">
        <v>14</v>
      </c>
      <c r="C30" s="3"/>
      <c r="D30" s="4" t="s">
        <v>43</v>
      </c>
      <c r="E30" s="2" t="s">
        <v>20</v>
      </c>
      <c r="F30" s="467"/>
      <c r="G30" s="2"/>
    </row>
    <row r="31" spans="2:15" ht="18" hidden="1" thickBot="1">
      <c r="B31" s="3"/>
      <c r="C31" s="3"/>
      <c r="D31" s="4"/>
      <c r="E31" s="2"/>
      <c r="F31" s="474" t="e">
        <f>(F29/F28)</f>
        <v>#DIV/0!</v>
      </c>
      <c r="G31" s="2"/>
    </row>
    <row r="32" spans="2:15" ht="13.5" hidden="1" thickTop="1">
      <c r="B32" s="3">
        <v>15</v>
      </c>
      <c r="C32" s="3"/>
      <c r="D32" s="4" t="s">
        <v>62</v>
      </c>
      <c r="E32" s="2" t="e">
        <f>F27-E30</f>
        <v>#VALUE!</v>
      </c>
      <c r="F32" s="2"/>
      <c r="G32" s="2"/>
    </row>
    <row r="33" spans="2:7" ht="15.5">
      <c r="B33" s="17"/>
      <c r="C33" s="17"/>
      <c r="D33" s="17"/>
      <c r="E33" s="17"/>
      <c r="F33" s="1"/>
      <c r="G33" s="1"/>
    </row>
    <row r="34" spans="2:7" ht="18">
      <c r="B34" s="1"/>
      <c r="C34" s="1"/>
      <c r="D34" s="269"/>
      <c r="E34" s="269"/>
      <c r="F34" s="269"/>
    </row>
    <row r="56" spans="2:5" ht="13">
      <c r="B56" s="1"/>
      <c r="C56" s="1"/>
      <c r="D56" s="1"/>
      <c r="E56" s="1"/>
    </row>
    <row r="57" spans="2:5" ht="13">
      <c r="B57" s="1"/>
      <c r="C57" s="1"/>
      <c r="D57" s="1"/>
      <c r="E57" s="1"/>
    </row>
    <row r="58" spans="2:5" ht="13">
      <c r="B58" s="1"/>
      <c r="C58" s="1"/>
      <c r="D58" s="1"/>
      <c r="E58" s="1"/>
    </row>
    <row r="59" spans="2:5" ht="13">
      <c r="B59" s="1"/>
      <c r="C59" s="1"/>
      <c r="D59" s="1"/>
      <c r="E59" s="1"/>
    </row>
    <row r="60" spans="2:5" ht="13">
      <c r="B60" s="1"/>
      <c r="C60" s="1"/>
      <c r="D60" s="1"/>
      <c r="E60" s="1"/>
    </row>
    <row r="61" spans="2:5" ht="13">
      <c r="B61" s="1"/>
      <c r="C61" s="1"/>
      <c r="D61" s="1"/>
      <c r="E61" s="1"/>
    </row>
    <row r="62" spans="2:5" ht="13">
      <c r="B62" s="1"/>
      <c r="C62" s="1"/>
      <c r="D62" s="1"/>
      <c r="E62" s="1"/>
    </row>
    <row r="63" spans="2:5" ht="13">
      <c r="B63" s="1"/>
      <c r="C63" s="1"/>
      <c r="D63" s="1"/>
      <c r="E63" s="1"/>
    </row>
    <row r="64" spans="2:5" ht="13">
      <c r="B64" s="1"/>
      <c r="C64" s="1"/>
      <c r="D64" s="1"/>
      <c r="E64" s="1"/>
    </row>
    <row r="65" spans="2:5" ht="13">
      <c r="B65" s="1"/>
      <c r="C65" s="1"/>
      <c r="D65" s="1"/>
      <c r="E65" s="1"/>
    </row>
    <row r="66" spans="2:5" ht="13">
      <c r="B66" s="1"/>
      <c r="C66" s="1"/>
      <c r="D66" s="1"/>
      <c r="E66" s="1"/>
    </row>
    <row r="67" spans="2:5" ht="13">
      <c r="B67" s="1"/>
      <c r="C67" s="1"/>
      <c r="D67" s="1"/>
      <c r="E67" s="1"/>
    </row>
    <row r="68" spans="2:5" ht="13">
      <c r="B68" s="1"/>
      <c r="C68" s="1"/>
      <c r="D68" s="1"/>
      <c r="E68" s="1"/>
    </row>
    <row r="69" spans="2:5" ht="13">
      <c r="B69" s="1"/>
      <c r="C69" s="1"/>
      <c r="D69" s="1"/>
      <c r="E69" s="1"/>
    </row>
    <row r="70" spans="2:5" ht="13">
      <c r="B70" s="1"/>
      <c r="C70" s="1"/>
      <c r="D70" s="1"/>
      <c r="E70" s="1"/>
    </row>
    <row r="71" spans="2:5" ht="13">
      <c r="B71" s="1"/>
      <c r="C71" s="1"/>
      <c r="D71" s="1"/>
      <c r="E71" s="1"/>
    </row>
    <row r="72" spans="2:5" ht="13">
      <c r="B72" s="1"/>
      <c r="C72" s="1"/>
      <c r="D72" s="1"/>
      <c r="E72" s="1"/>
    </row>
    <row r="73" spans="2:5" ht="13">
      <c r="B73" s="1"/>
      <c r="C73" s="1"/>
      <c r="D73" s="1"/>
      <c r="E73" s="1"/>
    </row>
    <row r="74" spans="2:5" ht="13">
      <c r="B74" s="1"/>
      <c r="C74" s="1"/>
      <c r="D74" s="1"/>
      <c r="E74" s="1"/>
    </row>
    <row r="75" spans="2:5" ht="13">
      <c r="B75" s="1"/>
      <c r="C75" s="1"/>
      <c r="D75" s="1"/>
      <c r="E75" s="1"/>
    </row>
    <row r="76" spans="2:5" ht="13">
      <c r="B76" s="1"/>
      <c r="C76" s="1"/>
      <c r="D76" s="1"/>
      <c r="E76" s="1"/>
    </row>
    <row r="77" spans="2:5" ht="13">
      <c r="B77" s="1"/>
      <c r="C77" s="1"/>
      <c r="D77" s="1"/>
      <c r="E77" s="1"/>
    </row>
    <row r="78" spans="2:5" ht="13">
      <c r="B78" s="1"/>
      <c r="C78" s="1"/>
      <c r="D78" s="1"/>
      <c r="E78" s="1"/>
    </row>
    <row r="79" spans="2:5" ht="13">
      <c r="B79" s="1"/>
      <c r="C79" s="1"/>
      <c r="D79" s="1"/>
      <c r="E79" s="1"/>
    </row>
    <row r="80" spans="2:5" ht="13">
      <c r="B80" s="1"/>
      <c r="C80" s="1"/>
      <c r="D80" s="1"/>
      <c r="E80" s="1"/>
    </row>
    <row r="81" spans="2:5" ht="13">
      <c r="B81" s="1"/>
      <c r="C81" s="1"/>
      <c r="D81" s="1"/>
      <c r="E81" s="1"/>
    </row>
    <row r="82" spans="2:5" ht="13">
      <c r="B82" s="1"/>
      <c r="C82" s="1"/>
      <c r="D82" s="1"/>
      <c r="E82" s="1"/>
    </row>
    <row r="83" spans="2:5" ht="13">
      <c r="B83" s="1"/>
      <c r="C83" s="1"/>
      <c r="D83" s="1"/>
      <c r="E83" s="1"/>
    </row>
    <row r="84" spans="2:5" ht="13">
      <c r="B84" s="1"/>
      <c r="C84" s="1"/>
      <c r="D84" s="1"/>
      <c r="E84" s="1"/>
    </row>
    <row r="85" spans="2:5" ht="13">
      <c r="B85" s="1"/>
      <c r="C85" s="1"/>
      <c r="D85" s="1"/>
      <c r="E85" s="1"/>
    </row>
    <row r="86" spans="2:5" ht="13">
      <c r="B86" s="1"/>
      <c r="C86" s="1"/>
      <c r="D86" s="1"/>
      <c r="E86" s="1"/>
    </row>
    <row r="87" spans="2:5" ht="13">
      <c r="B87" s="1"/>
      <c r="C87" s="1"/>
      <c r="D87" s="1"/>
      <c r="E87" s="1"/>
    </row>
    <row r="88" spans="2:5" ht="13">
      <c r="B88" s="1"/>
      <c r="C88" s="1"/>
      <c r="D88" s="1"/>
      <c r="E88" s="1"/>
    </row>
    <row r="89" spans="2:5" ht="13">
      <c r="B89" s="1"/>
      <c r="C89" s="1"/>
      <c r="D89" s="1"/>
      <c r="E89" s="1"/>
    </row>
    <row r="90" spans="2:5" ht="13">
      <c r="B90" s="1"/>
      <c r="C90" s="1"/>
      <c r="D90" s="1"/>
      <c r="E90" s="1"/>
    </row>
    <row r="91" spans="2:5" ht="13">
      <c r="B91" s="1"/>
      <c r="C91" s="1"/>
      <c r="D91" s="1"/>
      <c r="E91" s="1"/>
    </row>
    <row r="92" spans="2:5" ht="13">
      <c r="B92" s="1"/>
      <c r="C92" s="1"/>
      <c r="D92" s="1"/>
      <c r="E92" s="1"/>
    </row>
    <row r="93" spans="2:5" ht="13">
      <c r="B93" s="1"/>
      <c r="C93" s="1"/>
      <c r="D93" s="1"/>
      <c r="E93" s="1"/>
    </row>
    <row r="94" spans="2:5" ht="13">
      <c r="B94" s="1"/>
      <c r="C94" s="1"/>
      <c r="D94" s="1"/>
      <c r="E94" s="1"/>
    </row>
    <row r="95" spans="2:5" ht="13">
      <c r="B95" s="1"/>
      <c r="C95" s="1"/>
      <c r="D95" s="1"/>
      <c r="E95" s="1"/>
    </row>
    <row r="96" spans="2:5" ht="13">
      <c r="B96" s="1"/>
      <c r="C96" s="1"/>
      <c r="D96" s="1"/>
      <c r="E96" s="1"/>
    </row>
    <row r="97" spans="2:5" ht="13">
      <c r="B97" s="1"/>
      <c r="C97" s="1"/>
      <c r="D97" s="1"/>
      <c r="E97" s="1"/>
    </row>
    <row r="98" spans="2:5" ht="13">
      <c r="B98" s="1"/>
      <c r="C98" s="1"/>
      <c r="D98" s="1"/>
      <c r="E98" s="1"/>
    </row>
    <row r="99" spans="2:5" ht="13">
      <c r="B99" s="1"/>
      <c r="C99" s="1"/>
      <c r="D99" s="1"/>
      <c r="E99" s="1"/>
    </row>
    <row r="100" spans="2:5" ht="13">
      <c r="B100" s="1"/>
      <c r="C100" s="1"/>
      <c r="D100" s="1"/>
      <c r="E100" s="1"/>
    </row>
    <row r="101" spans="2:5" ht="13">
      <c r="B101" s="1"/>
      <c r="C101" s="1"/>
      <c r="D101" s="1"/>
      <c r="E101" s="1"/>
    </row>
    <row r="102" spans="2:5" ht="13">
      <c r="B102" s="1"/>
      <c r="C102" s="1"/>
      <c r="D102" s="1"/>
      <c r="E102" s="1"/>
    </row>
    <row r="103" spans="2:5" ht="13">
      <c r="B103" s="1"/>
      <c r="C103" s="1"/>
      <c r="D103" s="1"/>
      <c r="E103" s="1"/>
    </row>
    <row r="104" spans="2:5" ht="13">
      <c r="B104" s="1"/>
      <c r="C104" s="1"/>
      <c r="D104" s="1"/>
      <c r="E104" s="1"/>
    </row>
    <row r="105" spans="2:5" ht="13">
      <c r="B105" s="1"/>
      <c r="C105" s="1"/>
      <c r="D105" s="1"/>
      <c r="E105" s="1"/>
    </row>
    <row r="106" spans="2:5" ht="13">
      <c r="B106" s="1"/>
      <c r="C106" s="1"/>
      <c r="D106" s="1"/>
      <c r="E106" s="1"/>
    </row>
    <row r="107" spans="2:5" ht="13">
      <c r="B107" s="1"/>
      <c r="C107" s="1"/>
      <c r="D107" s="1"/>
      <c r="E107" s="1"/>
    </row>
    <row r="108" spans="2:5" ht="13">
      <c r="B108" s="1"/>
      <c r="C108" s="1"/>
      <c r="D108" s="1"/>
      <c r="E108" s="1"/>
    </row>
    <row r="109" spans="2:5" ht="13">
      <c r="B109" s="1"/>
      <c r="C109" s="1"/>
      <c r="D109" s="1"/>
      <c r="E109" s="1"/>
    </row>
    <row r="110" spans="2:5" ht="13">
      <c r="B110" s="1"/>
      <c r="C110" s="1"/>
      <c r="D110" s="1"/>
      <c r="E110" s="1"/>
    </row>
    <row r="111" spans="2:5" ht="13">
      <c r="B111" s="1"/>
      <c r="C111" s="1"/>
      <c r="D111" s="1"/>
      <c r="E111" s="1"/>
    </row>
    <row r="112" spans="2:5" ht="13">
      <c r="B112" s="1"/>
      <c r="C112" s="1"/>
      <c r="D112" s="1"/>
      <c r="E112" s="1"/>
    </row>
    <row r="113" spans="2:5" ht="13">
      <c r="B113" s="1"/>
      <c r="C113" s="1"/>
      <c r="D113" s="1"/>
      <c r="E113" s="1"/>
    </row>
    <row r="114" spans="2:5" ht="13">
      <c r="B114" s="1"/>
      <c r="C114" s="1"/>
      <c r="D114" s="1"/>
      <c r="E114" s="1"/>
    </row>
    <row r="115" spans="2:5" ht="13">
      <c r="B115" s="1"/>
      <c r="C115" s="1"/>
      <c r="D115" s="1"/>
      <c r="E115" s="1"/>
    </row>
    <row r="116" spans="2:5" ht="13">
      <c r="B116" s="1"/>
      <c r="C116" s="1"/>
      <c r="D116" s="1"/>
      <c r="E116" s="1"/>
    </row>
    <row r="117" spans="2:5" ht="13">
      <c r="B117" s="1"/>
      <c r="C117" s="1"/>
      <c r="D117" s="1"/>
      <c r="E117" s="1"/>
    </row>
    <row r="118" spans="2:5" ht="13">
      <c r="B118" s="1"/>
      <c r="C118" s="1"/>
      <c r="D118" s="1"/>
      <c r="E118" s="1"/>
    </row>
    <row r="119" spans="2:5" ht="13">
      <c r="B119" s="1"/>
      <c r="C119" s="1"/>
      <c r="D119" s="1"/>
      <c r="E119" s="1"/>
    </row>
    <row r="120" spans="2:5" ht="13">
      <c r="B120" s="1"/>
      <c r="C120" s="1"/>
      <c r="D120" s="1"/>
      <c r="E120" s="1"/>
    </row>
    <row r="121" spans="2:5" ht="13">
      <c r="B121" s="1"/>
      <c r="C121" s="1"/>
      <c r="D121" s="1"/>
      <c r="E121" s="1"/>
    </row>
    <row r="122" spans="2:5" ht="13">
      <c r="B122" s="1"/>
      <c r="C122" s="1"/>
      <c r="D122" s="1"/>
      <c r="E122" s="1"/>
    </row>
    <row r="123" spans="2:5" ht="13">
      <c r="B123" s="1"/>
      <c r="C123" s="1"/>
      <c r="D123" s="1"/>
      <c r="E123" s="1"/>
    </row>
    <row r="124" spans="2:5" ht="13">
      <c r="B124" s="1"/>
      <c r="C124" s="1"/>
      <c r="D124" s="1"/>
      <c r="E124" s="1"/>
    </row>
    <row r="125" spans="2:5" ht="13">
      <c r="B125" s="1"/>
      <c r="C125" s="1"/>
      <c r="D125" s="1"/>
      <c r="E125" s="1"/>
    </row>
    <row r="126" spans="2:5" ht="13">
      <c r="B126" s="1"/>
      <c r="C126" s="1"/>
      <c r="D126" s="1"/>
      <c r="E126" s="1"/>
    </row>
    <row r="127" spans="2:5" ht="13">
      <c r="B127" s="1"/>
      <c r="C127" s="1"/>
      <c r="D127" s="1"/>
      <c r="E127" s="1"/>
    </row>
    <row r="128" spans="2:5" ht="13">
      <c r="B128" s="1"/>
      <c r="C128" s="1"/>
      <c r="D128" s="1"/>
      <c r="E128" s="1"/>
    </row>
    <row r="129" spans="2:5" ht="13">
      <c r="B129" s="1"/>
      <c r="C129" s="1"/>
      <c r="D129" s="1"/>
      <c r="E129" s="1"/>
    </row>
    <row r="130" spans="2:5" ht="13">
      <c r="B130" s="1"/>
      <c r="C130" s="1"/>
      <c r="D130" s="1"/>
      <c r="E130" s="1"/>
    </row>
    <row r="131" spans="2:5" ht="13">
      <c r="B131" s="1"/>
      <c r="C131" s="1"/>
      <c r="D131" s="1"/>
      <c r="E131" s="1"/>
    </row>
    <row r="132" spans="2:5" ht="13">
      <c r="B132" s="1"/>
      <c r="C132" s="1"/>
      <c r="D132" s="1"/>
      <c r="E132" s="1"/>
    </row>
    <row r="133" spans="2:5" ht="13">
      <c r="B133" s="1"/>
      <c r="C133" s="1"/>
      <c r="D133" s="1"/>
      <c r="E133" s="1"/>
    </row>
    <row r="134" spans="2:5" ht="13">
      <c r="B134" s="1"/>
      <c r="C134" s="1"/>
      <c r="D134" s="1"/>
      <c r="E134" s="1"/>
    </row>
    <row r="135" spans="2:5" ht="13">
      <c r="B135" s="1"/>
      <c r="C135" s="1"/>
      <c r="D135" s="1"/>
      <c r="E135" s="1"/>
    </row>
    <row r="136" spans="2:5" ht="13">
      <c r="B136" s="1"/>
      <c r="C136" s="1"/>
      <c r="D136" s="1"/>
      <c r="E136" s="1"/>
    </row>
    <row r="137" spans="2:5" ht="13">
      <c r="B137" s="1"/>
      <c r="C137" s="1"/>
      <c r="D137" s="1"/>
      <c r="E137" s="1"/>
    </row>
    <row r="138" spans="2:5" ht="13">
      <c r="B138" s="1"/>
      <c r="C138" s="1"/>
      <c r="D138" s="1"/>
      <c r="E138" s="1"/>
    </row>
    <row r="139" spans="2:5" ht="13">
      <c r="B139" s="1"/>
      <c r="C139" s="1"/>
      <c r="D139" s="1"/>
      <c r="E139" s="1"/>
    </row>
    <row r="140" spans="2:5" ht="13">
      <c r="B140" s="1"/>
      <c r="C140" s="1"/>
      <c r="D140" s="1"/>
      <c r="E140" s="1"/>
    </row>
    <row r="141" spans="2:5" ht="13">
      <c r="B141" s="1"/>
      <c r="C141" s="1"/>
      <c r="D141" s="1"/>
      <c r="E141" s="1"/>
    </row>
    <row r="142" spans="2:5" ht="13">
      <c r="B142" s="1"/>
      <c r="C142" s="1"/>
      <c r="D142" s="1"/>
      <c r="E142" s="1"/>
    </row>
    <row r="143" spans="2:5" ht="13">
      <c r="B143" s="1"/>
      <c r="C143" s="1"/>
      <c r="D143" s="1"/>
      <c r="E143" s="1"/>
    </row>
    <row r="144" spans="2:5" ht="13">
      <c r="B144" s="1"/>
      <c r="C144" s="1"/>
      <c r="D144" s="1"/>
      <c r="E144" s="1"/>
    </row>
    <row r="145" spans="2:5" ht="13">
      <c r="B145" s="1"/>
      <c r="C145" s="1"/>
      <c r="D145" s="1"/>
      <c r="E145" s="1"/>
    </row>
    <row r="146" spans="2:5" ht="13">
      <c r="B146" s="1"/>
      <c r="C146" s="1"/>
      <c r="D146" s="1"/>
      <c r="E146" s="1"/>
    </row>
    <row r="147" spans="2:5" ht="13">
      <c r="B147" s="1"/>
      <c r="C147" s="1"/>
      <c r="D147" s="1"/>
      <c r="E147" s="1"/>
    </row>
    <row r="148" spans="2:5" ht="13">
      <c r="B148" s="1"/>
      <c r="C148" s="1"/>
      <c r="D148" s="1"/>
      <c r="E148" s="1"/>
    </row>
    <row r="149" spans="2:5" ht="13">
      <c r="B149" s="1"/>
      <c r="C149" s="1"/>
      <c r="D149" s="1"/>
      <c r="E149" s="1"/>
    </row>
    <row r="150" spans="2:5" ht="13">
      <c r="B150" s="1"/>
      <c r="C150" s="1"/>
      <c r="D150" s="1"/>
      <c r="E150" s="1"/>
    </row>
    <row r="151" spans="2:5" ht="13">
      <c r="B151" s="1"/>
      <c r="C151" s="1"/>
      <c r="D151" s="1"/>
      <c r="E151" s="1"/>
    </row>
    <row r="152" spans="2:5" ht="13">
      <c r="B152" s="1"/>
      <c r="C152" s="1"/>
      <c r="D152" s="1"/>
      <c r="E152" s="1"/>
    </row>
    <row r="153" spans="2:5" ht="13">
      <c r="B153" s="1"/>
      <c r="C153" s="1"/>
      <c r="D153" s="1"/>
      <c r="E153" s="1"/>
    </row>
    <row r="154" spans="2:5" ht="13">
      <c r="B154" s="1"/>
      <c r="C154" s="1"/>
      <c r="D154" s="1"/>
      <c r="E154" s="1"/>
    </row>
    <row r="155" spans="2:5" ht="13">
      <c r="B155" s="1"/>
      <c r="C155" s="1"/>
      <c r="D155" s="1"/>
      <c r="E155" s="1"/>
    </row>
    <row r="156" spans="2:5" ht="13">
      <c r="B156" s="1"/>
      <c r="C156" s="1"/>
      <c r="D156" s="1"/>
      <c r="E156" s="1"/>
    </row>
    <row r="157" spans="2:5" ht="13">
      <c r="B157" s="1"/>
      <c r="C157" s="1"/>
      <c r="D157" s="1"/>
      <c r="E157" s="1"/>
    </row>
    <row r="158" spans="2:5" ht="13">
      <c r="B158" s="1"/>
      <c r="C158" s="1"/>
      <c r="D158" s="1"/>
      <c r="E158" s="1"/>
    </row>
    <row r="159" spans="2:5" ht="13">
      <c r="B159" s="1"/>
      <c r="C159" s="1"/>
      <c r="D159" s="1"/>
      <c r="E159" s="1"/>
    </row>
    <row r="160" spans="2:5" ht="13">
      <c r="B160" s="1"/>
      <c r="C160" s="1"/>
      <c r="D160" s="1"/>
      <c r="E160" s="1"/>
    </row>
    <row r="161" spans="2:5" ht="13">
      <c r="B161" s="1"/>
      <c r="C161" s="1"/>
      <c r="D161" s="1"/>
      <c r="E161" s="1"/>
    </row>
    <row r="162" spans="2:5" ht="13">
      <c r="B162" s="1"/>
      <c r="C162" s="1"/>
      <c r="D162" s="1"/>
      <c r="E162" s="1"/>
    </row>
    <row r="163" spans="2:5" ht="13">
      <c r="B163" s="1"/>
      <c r="C163" s="1"/>
      <c r="D163" s="1"/>
      <c r="E163" s="1"/>
    </row>
    <row r="164" spans="2:5" ht="13">
      <c r="B164" s="1"/>
      <c r="C164" s="1"/>
      <c r="D164" s="1"/>
      <c r="E164" s="1"/>
    </row>
    <row r="165" spans="2:5" ht="13">
      <c r="B165" s="1"/>
      <c r="C165" s="1"/>
      <c r="D165" s="1"/>
      <c r="E165" s="1"/>
    </row>
    <row r="166" spans="2:5" ht="13">
      <c r="B166" s="1"/>
      <c r="C166" s="1"/>
      <c r="D166" s="1"/>
      <c r="E166" s="1"/>
    </row>
    <row r="167" spans="2:5" ht="13">
      <c r="B167" s="1"/>
      <c r="C167" s="1"/>
      <c r="D167" s="1"/>
      <c r="E167" s="1"/>
    </row>
    <row r="168" spans="2:5" ht="13">
      <c r="B168" s="1"/>
      <c r="C168" s="1"/>
      <c r="D168" s="1"/>
      <c r="E168" s="1"/>
    </row>
    <row r="169" spans="2:5" ht="13">
      <c r="B169" s="1"/>
      <c r="C169" s="1"/>
      <c r="D169" s="1"/>
      <c r="E169" s="1"/>
    </row>
    <row r="170" spans="2:5" ht="13">
      <c r="B170" s="1"/>
      <c r="C170" s="1"/>
      <c r="D170" s="1"/>
      <c r="E170" s="1"/>
    </row>
    <row r="171" spans="2:5" ht="13">
      <c r="B171" s="1"/>
      <c r="C171" s="1"/>
      <c r="D171" s="1"/>
      <c r="E171" s="1"/>
    </row>
    <row r="172" spans="2:5" ht="13">
      <c r="B172" s="1"/>
      <c r="C172" s="1"/>
      <c r="D172" s="1"/>
      <c r="E172" s="1"/>
    </row>
    <row r="173" spans="2:5" ht="13">
      <c r="B173" s="1"/>
      <c r="C173" s="1"/>
      <c r="D173" s="1"/>
      <c r="E173" s="1"/>
    </row>
    <row r="174" spans="2:5" ht="13">
      <c r="B174" s="1"/>
      <c r="C174" s="1"/>
      <c r="D174" s="1"/>
      <c r="E174" s="1"/>
    </row>
    <row r="175" spans="2:5" ht="13">
      <c r="B175" s="1"/>
      <c r="C175" s="1"/>
      <c r="D175" s="1"/>
      <c r="E175" s="1"/>
    </row>
    <row r="176" spans="2:5" ht="13">
      <c r="B176" s="1"/>
      <c r="C176" s="1"/>
      <c r="D176" s="1"/>
      <c r="E176" s="1"/>
    </row>
    <row r="177" spans="2:5" ht="13">
      <c r="B177" s="1"/>
      <c r="C177" s="1"/>
      <c r="D177" s="1"/>
      <c r="E177" s="1"/>
    </row>
    <row r="178" spans="2:5" ht="13">
      <c r="B178" s="1"/>
      <c r="C178" s="1"/>
      <c r="D178" s="1"/>
      <c r="E178" s="1"/>
    </row>
    <row r="179" spans="2:5" ht="13">
      <c r="B179" s="1"/>
      <c r="C179" s="1"/>
      <c r="D179" s="1"/>
      <c r="E179" s="1"/>
    </row>
    <row r="180" spans="2:5" ht="13">
      <c r="B180" s="1"/>
      <c r="C180" s="1"/>
      <c r="D180" s="1"/>
      <c r="E180" s="1"/>
    </row>
    <row r="181" spans="2:5" ht="13">
      <c r="B181" s="1"/>
      <c r="C181" s="1"/>
      <c r="D181" s="1"/>
      <c r="E181" s="1"/>
    </row>
    <row r="182" spans="2:5" ht="13">
      <c r="B182" s="1"/>
      <c r="C182" s="1"/>
      <c r="D182" s="1"/>
      <c r="E182" s="1"/>
    </row>
    <row r="183" spans="2:5" ht="13">
      <c r="B183" s="1"/>
      <c r="C183" s="1"/>
      <c r="D183" s="1"/>
      <c r="E183" s="1"/>
    </row>
    <row r="184" spans="2:5" ht="13">
      <c r="B184" s="1"/>
      <c r="C184" s="1"/>
      <c r="D184" s="1"/>
      <c r="E184" s="1"/>
    </row>
    <row r="185" spans="2:5" ht="13">
      <c r="B185" s="1"/>
      <c r="C185" s="1"/>
      <c r="D185" s="1"/>
      <c r="E185" s="1"/>
    </row>
    <row r="186" spans="2:5" ht="13">
      <c r="B186" s="1"/>
      <c r="C186" s="1"/>
      <c r="D186" s="1"/>
      <c r="E186" s="1"/>
    </row>
    <row r="187" spans="2:5" ht="13">
      <c r="B187" s="1"/>
      <c r="C187" s="1"/>
      <c r="D187" s="1"/>
      <c r="E187" s="1"/>
    </row>
    <row r="188" spans="2:5" ht="13">
      <c r="B188" s="1"/>
      <c r="C188" s="1"/>
      <c r="D188" s="1"/>
      <c r="E188" s="1"/>
    </row>
    <row r="189" spans="2:5" ht="13">
      <c r="B189" s="1"/>
      <c r="C189" s="1"/>
      <c r="D189" s="1"/>
      <c r="E189" s="1"/>
    </row>
    <row r="190" spans="2:5" ht="13">
      <c r="B190" s="1"/>
      <c r="C190" s="1"/>
      <c r="D190" s="1"/>
      <c r="E190" s="1"/>
    </row>
    <row r="191" spans="2:5" ht="13">
      <c r="B191" s="1"/>
      <c r="C191" s="1"/>
      <c r="D191" s="1"/>
      <c r="E191" s="1"/>
    </row>
    <row r="192" spans="2:5" ht="13">
      <c r="B192" s="1"/>
      <c r="C192" s="1"/>
      <c r="D192" s="1"/>
      <c r="E192" s="1"/>
    </row>
    <row r="193" spans="2:5" ht="13">
      <c r="B193" s="1"/>
      <c r="C193" s="1"/>
      <c r="D193" s="1"/>
      <c r="E193" s="1"/>
    </row>
    <row r="194" spans="2:5" ht="13">
      <c r="B194" s="1"/>
      <c r="C194" s="1"/>
      <c r="D194" s="1"/>
      <c r="E194" s="1"/>
    </row>
    <row r="195" spans="2:5" ht="13">
      <c r="B195" s="1"/>
      <c r="C195" s="1"/>
      <c r="D195" s="1"/>
      <c r="E195" s="1"/>
    </row>
    <row r="196" spans="2:5" ht="13">
      <c r="B196" s="1"/>
      <c r="C196" s="1"/>
      <c r="D196" s="1"/>
      <c r="E196" s="1"/>
    </row>
    <row r="197" spans="2:5" ht="13">
      <c r="B197" s="1"/>
      <c r="C197" s="1"/>
      <c r="D197" s="1"/>
      <c r="E197" s="1"/>
    </row>
    <row r="198" spans="2:5" ht="13">
      <c r="B198" s="1"/>
      <c r="C198" s="1"/>
      <c r="D198" s="1"/>
      <c r="E198" s="1"/>
    </row>
    <row r="199" spans="2:5" ht="13">
      <c r="B199" s="1"/>
      <c r="C199" s="1"/>
      <c r="D199" s="1"/>
      <c r="E199" s="1"/>
    </row>
    <row r="200" spans="2:5" ht="13">
      <c r="B200" s="1"/>
      <c r="C200" s="1"/>
      <c r="D200" s="1"/>
      <c r="E200" s="1"/>
    </row>
    <row r="201" spans="2:5" ht="13">
      <c r="B201" s="1"/>
      <c r="C201" s="1"/>
      <c r="D201" s="1"/>
      <c r="E201" s="1"/>
    </row>
    <row r="202" spans="2:5" ht="13">
      <c r="B202" s="1"/>
      <c r="C202" s="1"/>
      <c r="D202" s="1"/>
      <c r="E202" s="1"/>
    </row>
    <row r="203" spans="2:5" ht="13">
      <c r="B203" s="1"/>
      <c r="C203" s="1"/>
      <c r="D203" s="1"/>
      <c r="E203" s="1"/>
    </row>
    <row r="204" spans="2:5" ht="13">
      <c r="B204" s="1"/>
      <c r="C204" s="1"/>
      <c r="D204" s="1"/>
      <c r="E204" s="1"/>
    </row>
    <row r="205" spans="2:5" ht="13">
      <c r="B205" s="1"/>
      <c r="C205" s="1"/>
      <c r="D205" s="1"/>
      <c r="E205" s="1"/>
    </row>
    <row r="206" spans="2:5" ht="13">
      <c r="B206" s="1"/>
      <c r="C206" s="1"/>
      <c r="D206" s="1"/>
      <c r="E206" s="1"/>
    </row>
    <row r="207" spans="2:5" ht="13">
      <c r="B207" s="1"/>
      <c r="C207" s="1"/>
      <c r="D207" s="1"/>
      <c r="E207" s="1"/>
    </row>
    <row r="208" spans="2:5" ht="13">
      <c r="B208" s="1"/>
      <c r="C208" s="1"/>
      <c r="D208" s="1"/>
      <c r="E208" s="1"/>
    </row>
    <row r="209" spans="2:5" ht="13">
      <c r="B209" s="1"/>
      <c r="C209" s="1"/>
      <c r="D209" s="1"/>
      <c r="E209" s="1"/>
    </row>
    <row r="210" spans="2:5" ht="13">
      <c r="B210" s="1"/>
      <c r="C210" s="1"/>
      <c r="D210" s="1"/>
      <c r="E210" s="1"/>
    </row>
    <row r="211" spans="2:5" ht="13">
      <c r="B211" s="1"/>
      <c r="C211" s="1"/>
      <c r="D211" s="1"/>
      <c r="E211" s="1"/>
    </row>
    <row r="212" spans="2:5" ht="13">
      <c r="B212" s="1"/>
      <c r="C212" s="1"/>
      <c r="D212" s="1"/>
      <c r="E212" s="1"/>
    </row>
    <row r="213" spans="2:5" ht="13">
      <c r="B213" s="1"/>
      <c r="C213" s="1"/>
      <c r="D213" s="1"/>
      <c r="E213" s="1"/>
    </row>
    <row r="214" spans="2:5" ht="13">
      <c r="B214" s="1"/>
      <c r="C214" s="1"/>
      <c r="D214" s="1"/>
      <c r="E214" s="1"/>
    </row>
    <row r="215" spans="2:5" ht="13">
      <c r="B215" s="1"/>
      <c r="C215" s="1"/>
      <c r="D215" s="1"/>
      <c r="E215" s="1"/>
    </row>
    <row r="216" spans="2:5" ht="13">
      <c r="B216" s="1"/>
      <c r="C216" s="1"/>
      <c r="D216" s="1"/>
      <c r="E216" s="1"/>
    </row>
    <row r="217" spans="2:5" ht="13">
      <c r="B217" s="1"/>
      <c r="C217" s="1"/>
      <c r="D217" s="1"/>
      <c r="E217" s="1"/>
    </row>
    <row r="218" spans="2:5" ht="13">
      <c r="B218" s="1"/>
      <c r="C218" s="1"/>
      <c r="D218" s="1"/>
      <c r="E218" s="1"/>
    </row>
    <row r="219" spans="2:5" ht="13">
      <c r="B219" s="1"/>
      <c r="C219" s="1"/>
      <c r="D219" s="1"/>
      <c r="E219" s="1"/>
    </row>
    <row r="220" spans="2:5" ht="13">
      <c r="B220" s="1"/>
      <c r="C220" s="1"/>
      <c r="D220" s="1"/>
      <c r="E220" s="1"/>
    </row>
    <row r="221" spans="2:5" ht="13">
      <c r="B221" s="1"/>
      <c r="C221" s="1"/>
      <c r="D221" s="1"/>
      <c r="E221" s="1"/>
    </row>
    <row r="222" spans="2:5" ht="13">
      <c r="B222" s="1"/>
      <c r="C222" s="1"/>
      <c r="D222" s="1"/>
      <c r="E222" s="1"/>
    </row>
    <row r="223" spans="2:5" ht="13">
      <c r="B223" s="1"/>
      <c r="C223" s="1"/>
      <c r="D223" s="1"/>
      <c r="E223" s="1"/>
    </row>
    <row r="224" spans="2:5" ht="13">
      <c r="B224" s="1"/>
      <c r="C224" s="1"/>
      <c r="D224" s="1"/>
      <c r="E224" s="1"/>
    </row>
    <row r="225" spans="2:5" ht="13">
      <c r="B225" s="1"/>
      <c r="C225" s="1"/>
      <c r="D225" s="1"/>
      <c r="E225" s="1"/>
    </row>
    <row r="226" spans="2:5" ht="13">
      <c r="B226" s="1"/>
      <c r="C226" s="1"/>
      <c r="D226" s="1"/>
      <c r="E226" s="1"/>
    </row>
    <row r="227" spans="2:5" ht="13">
      <c r="B227" s="1"/>
      <c r="C227" s="1"/>
      <c r="D227" s="1"/>
      <c r="E227" s="1"/>
    </row>
    <row r="228" spans="2:5" ht="13">
      <c r="B228" s="1"/>
      <c r="C228" s="1"/>
      <c r="D228" s="1"/>
      <c r="E228" s="1"/>
    </row>
    <row r="229" spans="2:5" ht="13">
      <c r="B229" s="1"/>
      <c r="C229" s="1"/>
      <c r="D229" s="1"/>
      <c r="E229" s="1"/>
    </row>
    <row r="230" spans="2:5" ht="13">
      <c r="B230" s="1"/>
      <c r="C230" s="1"/>
      <c r="D230" s="1"/>
      <c r="E230" s="1"/>
    </row>
    <row r="231" spans="2:5" ht="13">
      <c r="B231" s="1"/>
      <c r="C231" s="1"/>
      <c r="D231" s="1"/>
      <c r="E231" s="1"/>
    </row>
    <row r="232" spans="2:5" ht="13">
      <c r="B232" s="1"/>
      <c r="C232" s="1"/>
      <c r="D232" s="1"/>
      <c r="E232" s="1"/>
    </row>
    <row r="233" spans="2:5" ht="13">
      <c r="B233" s="1"/>
      <c r="C233" s="1"/>
      <c r="D233" s="1"/>
      <c r="E233" s="1"/>
    </row>
    <row r="234" spans="2:5" ht="13">
      <c r="B234" s="1"/>
      <c r="C234" s="1"/>
      <c r="D234" s="1"/>
      <c r="E234" s="1"/>
    </row>
    <row r="235" spans="2:5" ht="13">
      <c r="B235" s="1"/>
      <c r="C235" s="1"/>
      <c r="D235" s="1"/>
      <c r="E235" s="1"/>
    </row>
    <row r="236" spans="2:5" ht="13">
      <c r="B236" s="1"/>
      <c r="C236" s="1"/>
      <c r="D236" s="1"/>
      <c r="E236" s="1"/>
    </row>
    <row r="237" spans="2:5" ht="13">
      <c r="B237" s="1"/>
      <c r="C237" s="1"/>
      <c r="D237" s="1"/>
      <c r="E237" s="1"/>
    </row>
    <row r="238" spans="2:5" ht="13">
      <c r="B238" s="1"/>
      <c r="C238" s="1"/>
      <c r="D238" s="1"/>
      <c r="E238" s="1"/>
    </row>
    <row r="239" spans="2:5" ht="13">
      <c r="B239" s="1"/>
      <c r="C239" s="1"/>
      <c r="D239" s="1"/>
      <c r="E239" s="1"/>
    </row>
    <row r="240" spans="2:5" ht="13">
      <c r="B240" s="1"/>
      <c r="C240" s="1"/>
      <c r="D240" s="1"/>
      <c r="E240" s="1"/>
    </row>
    <row r="241" spans="2:5" ht="13">
      <c r="B241" s="1"/>
      <c r="C241" s="1"/>
      <c r="D241" s="1"/>
      <c r="E241" s="1"/>
    </row>
    <row r="242" spans="2:5" ht="13">
      <c r="B242" s="1"/>
      <c r="C242" s="1"/>
      <c r="D242" s="1"/>
      <c r="E242" s="1"/>
    </row>
    <row r="243" spans="2:5" ht="13">
      <c r="B243" s="1"/>
      <c r="C243" s="1"/>
      <c r="D243" s="1"/>
      <c r="E243" s="1"/>
    </row>
    <row r="244" spans="2:5" ht="13">
      <c r="B244" s="1"/>
      <c r="C244" s="1"/>
      <c r="D244" s="1"/>
      <c r="E244" s="1"/>
    </row>
    <row r="245" spans="2:5" ht="13">
      <c r="B245" s="1"/>
      <c r="C245" s="1"/>
      <c r="D245" s="1"/>
      <c r="E245" s="1"/>
    </row>
    <row r="246" spans="2:5" ht="13">
      <c r="B246" s="1"/>
      <c r="C246" s="1"/>
      <c r="D246" s="1"/>
      <c r="E246" s="1"/>
    </row>
    <row r="247" spans="2:5" ht="13">
      <c r="B247" s="1"/>
      <c r="C247" s="1"/>
      <c r="D247" s="1"/>
      <c r="E247" s="1"/>
    </row>
    <row r="248" spans="2:5" ht="13">
      <c r="B248" s="1"/>
      <c r="C248" s="1"/>
      <c r="D248" s="1"/>
      <c r="E248" s="1"/>
    </row>
    <row r="249" spans="2:5" ht="13">
      <c r="B249" s="1"/>
      <c r="C249" s="1"/>
      <c r="D249" s="1"/>
      <c r="E249" s="1"/>
    </row>
    <row r="250" spans="2:5" ht="13">
      <c r="B250" s="1"/>
      <c r="C250" s="1"/>
      <c r="D250" s="1"/>
      <c r="E250" s="1"/>
    </row>
    <row r="251" spans="2:5" ht="13">
      <c r="B251" s="1"/>
      <c r="C251" s="1"/>
      <c r="D251" s="1"/>
      <c r="E251" s="1"/>
    </row>
    <row r="252" spans="2:5" ht="13">
      <c r="B252" s="1"/>
      <c r="C252" s="1"/>
      <c r="D252" s="1"/>
      <c r="E252" s="1"/>
    </row>
    <row r="253" spans="2:5" ht="13">
      <c r="B253" s="1"/>
      <c r="C253" s="1"/>
      <c r="D253" s="1"/>
      <c r="E253" s="1"/>
    </row>
    <row r="254" spans="2:5" ht="13">
      <c r="B254" s="1"/>
      <c r="C254" s="1"/>
      <c r="D254" s="1"/>
      <c r="E254" s="1"/>
    </row>
    <row r="255" spans="2:5" ht="13">
      <c r="B255" s="1"/>
      <c r="C255" s="1"/>
      <c r="D255" s="1"/>
      <c r="E255" s="1"/>
    </row>
    <row r="256" spans="2:5" ht="13">
      <c r="B256" s="1"/>
      <c r="C256" s="1"/>
      <c r="D256" s="1"/>
      <c r="E256" s="1"/>
    </row>
    <row r="257" spans="2:5" ht="13">
      <c r="B257" s="1"/>
      <c r="C257" s="1"/>
      <c r="D257" s="1"/>
      <c r="E257" s="1"/>
    </row>
    <row r="258" spans="2:5" ht="13">
      <c r="B258" s="1"/>
      <c r="C258" s="1"/>
      <c r="D258" s="1"/>
      <c r="E258" s="1"/>
    </row>
    <row r="259" spans="2:5" ht="13">
      <c r="B259" s="1"/>
      <c r="C259" s="1"/>
      <c r="D259" s="1"/>
      <c r="E259" s="1"/>
    </row>
    <row r="260" spans="2:5" ht="13">
      <c r="B260" s="1"/>
      <c r="C260" s="1"/>
      <c r="D260" s="1"/>
      <c r="E260" s="1"/>
    </row>
    <row r="261" spans="2:5" ht="13">
      <c r="B261" s="1"/>
      <c r="C261" s="1"/>
      <c r="D261" s="1"/>
      <c r="E261" s="1"/>
    </row>
    <row r="262" spans="2:5" ht="13">
      <c r="B262" s="1"/>
      <c r="C262" s="1"/>
      <c r="D262" s="1"/>
      <c r="E262" s="1"/>
    </row>
    <row r="263" spans="2:5" ht="13">
      <c r="B263" s="1"/>
      <c r="C263" s="1"/>
      <c r="D263" s="1"/>
      <c r="E263" s="1"/>
    </row>
    <row r="264" spans="2:5" ht="13">
      <c r="B264" s="1"/>
      <c r="C264" s="1"/>
      <c r="D264" s="1"/>
      <c r="E264" s="1"/>
    </row>
    <row r="265" spans="2:5" ht="13">
      <c r="B265" s="1"/>
      <c r="C265" s="1"/>
      <c r="D265" s="1"/>
      <c r="E265" s="1"/>
    </row>
    <row r="266" spans="2:5" ht="13">
      <c r="B266" s="1"/>
      <c r="C266" s="1"/>
      <c r="D266" s="1"/>
      <c r="E266" s="1"/>
    </row>
    <row r="267" spans="2:5" ht="13">
      <c r="B267" s="1"/>
      <c r="C267" s="1"/>
      <c r="D267" s="1"/>
      <c r="E267" s="1"/>
    </row>
    <row r="268" spans="2:5" ht="13">
      <c r="B268" s="1"/>
      <c r="C268" s="1"/>
      <c r="D268" s="1"/>
      <c r="E268" s="1"/>
    </row>
    <row r="269" spans="2:5" ht="13">
      <c r="B269" s="1"/>
      <c r="C269" s="1"/>
      <c r="D269" s="1"/>
      <c r="E269" s="1"/>
    </row>
    <row r="270" spans="2:5" ht="13">
      <c r="B270" s="1"/>
      <c r="C270" s="1"/>
      <c r="D270" s="1"/>
      <c r="E270" s="1"/>
    </row>
    <row r="271" spans="2:5" ht="13">
      <c r="B271" s="1"/>
      <c r="C271" s="1"/>
      <c r="D271" s="1"/>
      <c r="E271" s="1"/>
    </row>
    <row r="272" spans="2:5" ht="13">
      <c r="B272" s="1"/>
      <c r="C272" s="1"/>
      <c r="D272" s="1"/>
      <c r="E272" s="1"/>
    </row>
    <row r="273" spans="2:5" ht="13">
      <c r="B273" s="1"/>
      <c r="C273" s="1"/>
      <c r="D273" s="1"/>
      <c r="E273" s="1"/>
    </row>
    <row r="274" spans="2:5" ht="13">
      <c r="B274" s="1"/>
      <c r="C274" s="1"/>
      <c r="D274" s="1"/>
      <c r="E274" s="1"/>
    </row>
    <row r="275" spans="2:5" ht="13">
      <c r="B275" s="1"/>
      <c r="C275" s="1"/>
      <c r="D275" s="1"/>
      <c r="E275" s="1"/>
    </row>
    <row r="276" spans="2:5" ht="13">
      <c r="B276" s="1"/>
      <c r="C276" s="1"/>
      <c r="D276" s="1"/>
      <c r="E276" s="1"/>
    </row>
    <row r="277" spans="2:5" ht="13">
      <c r="B277" s="1"/>
      <c r="C277" s="1"/>
      <c r="D277" s="1"/>
      <c r="E277" s="1"/>
    </row>
    <row r="278" spans="2:5" ht="13">
      <c r="B278" s="1"/>
      <c r="C278" s="1"/>
      <c r="D278" s="1"/>
      <c r="E278" s="1"/>
    </row>
    <row r="279" spans="2:5" ht="13">
      <c r="B279" s="1"/>
      <c r="C279" s="1"/>
      <c r="D279" s="1"/>
      <c r="E279" s="1"/>
    </row>
    <row r="280" spans="2:5" ht="13">
      <c r="B280" s="1"/>
      <c r="C280" s="1"/>
      <c r="D280" s="1"/>
      <c r="E280" s="1"/>
    </row>
    <row r="281" spans="2:5" ht="13">
      <c r="B281" s="1"/>
      <c r="C281" s="1"/>
      <c r="D281" s="1"/>
      <c r="E281" s="1"/>
    </row>
    <row r="282" spans="2:5" ht="13">
      <c r="B282" s="1"/>
      <c r="C282" s="1"/>
      <c r="D282" s="1"/>
      <c r="E282" s="1"/>
    </row>
    <row r="283" spans="2:5" ht="13">
      <c r="B283" s="1"/>
      <c r="C283" s="1"/>
      <c r="D283" s="1"/>
      <c r="E283" s="1"/>
    </row>
    <row r="284" spans="2:5" ht="13">
      <c r="B284" s="1"/>
      <c r="C284" s="1"/>
      <c r="D284" s="1"/>
      <c r="E284" s="1"/>
    </row>
    <row r="285" spans="2:5" ht="13">
      <c r="B285" s="1"/>
      <c r="C285" s="1"/>
      <c r="D285" s="1"/>
      <c r="E285" s="1"/>
    </row>
    <row r="286" spans="2:5" ht="13">
      <c r="B286" s="1"/>
      <c r="C286" s="1"/>
      <c r="D286" s="1"/>
      <c r="E286" s="1"/>
    </row>
    <row r="287" spans="2:5" ht="13">
      <c r="B287" s="1"/>
      <c r="C287" s="1"/>
      <c r="D287" s="1"/>
      <c r="E287" s="1"/>
    </row>
    <row r="288" spans="2:5" ht="13">
      <c r="B288" s="1"/>
      <c r="C288" s="1"/>
      <c r="D288" s="1"/>
      <c r="E288" s="1"/>
    </row>
    <row r="289" spans="2:5" ht="13">
      <c r="B289" s="1"/>
      <c r="C289" s="1"/>
      <c r="D289" s="1"/>
      <c r="E289" s="1"/>
    </row>
    <row r="290" spans="2:5" ht="13">
      <c r="B290" s="1"/>
      <c r="C290" s="1"/>
      <c r="D290" s="1"/>
      <c r="E290" s="1"/>
    </row>
    <row r="291" spans="2:5" ht="13">
      <c r="B291" s="1"/>
      <c r="C291" s="1"/>
      <c r="D291" s="1"/>
      <c r="E291" s="1"/>
    </row>
    <row r="292" spans="2:5" ht="13">
      <c r="B292" s="1"/>
      <c r="C292" s="1"/>
      <c r="D292" s="1"/>
      <c r="E292" s="1"/>
    </row>
    <row r="293" spans="2:5" ht="13">
      <c r="B293" s="1"/>
      <c r="C293" s="1"/>
      <c r="D293" s="1"/>
      <c r="E293" s="1"/>
    </row>
    <row r="294" spans="2:5" ht="13">
      <c r="B294" s="1"/>
      <c r="C294" s="1"/>
      <c r="D294" s="1"/>
      <c r="E294" s="1"/>
    </row>
    <row r="295" spans="2:5" ht="13">
      <c r="B295" s="1"/>
      <c r="C295" s="1"/>
      <c r="D295" s="1"/>
      <c r="E295" s="1"/>
    </row>
  </sheetData>
  <mergeCells count="16">
    <mergeCell ref="B5:D6"/>
    <mergeCell ref="E6:G6"/>
    <mergeCell ref="B1:G1"/>
    <mergeCell ref="B2:G2"/>
    <mergeCell ref="B3:G3"/>
    <mergeCell ref="B4:G4"/>
    <mergeCell ref="J26:O26"/>
    <mergeCell ref="J27:O29"/>
    <mergeCell ref="J7:O7"/>
    <mergeCell ref="J11:O12"/>
    <mergeCell ref="J13:O14"/>
    <mergeCell ref="J19:O20"/>
    <mergeCell ref="J21:O22"/>
    <mergeCell ref="J9:O9"/>
    <mergeCell ref="J10:O10"/>
    <mergeCell ref="J17:O17"/>
  </mergeCells>
  <phoneticPr fontId="0" type="noConversion"/>
  <pageMargins left="0.35" right="0.26" top="0.53" bottom="0.48" header="0.5" footer="0.5"/>
  <pageSetup scale="85" orientation="portrait" r:id="rId1"/>
  <headerFooter alignWithMargins="0"/>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13</vt:i4>
      </vt:variant>
      <vt:variant>
        <vt:lpstr>Charts</vt:lpstr>
      </vt:variant>
      <vt:variant>
        <vt:i4>9</vt:i4>
      </vt:variant>
      <vt:variant>
        <vt:lpstr>Named Ranges</vt:lpstr>
      </vt:variant>
      <vt:variant>
        <vt:i4>5</vt:i4>
      </vt:variant>
    </vt:vector>
  </HeadingPairs>
  <TitlesOfParts>
    <vt:vector size="27" baseType="lpstr">
      <vt:lpstr>Cycle Report</vt:lpstr>
      <vt:lpstr>Acreage</vt:lpstr>
      <vt:lpstr>Yield</vt:lpstr>
      <vt:lpstr>Estimate</vt:lpstr>
      <vt:lpstr>Canada Production</vt:lpstr>
      <vt:lpstr>Sales</vt:lpstr>
      <vt:lpstr>Impact of Handler Withhold </vt:lpstr>
      <vt:lpstr>total available supply and Sale</vt:lpstr>
      <vt:lpstr>Marketing Policy</vt:lpstr>
      <vt:lpstr>Impact of Producer Allotment</vt:lpstr>
      <vt:lpstr>Marketing Policy w Regulation</vt:lpstr>
      <vt:lpstr>Marketing Policy 2019</vt:lpstr>
      <vt:lpstr>Results of Allotment</vt:lpstr>
      <vt:lpstr>Acreage Chart</vt:lpstr>
      <vt:lpstr>Yield Chart</vt:lpstr>
      <vt:lpstr>Canada Production Chart</vt:lpstr>
      <vt:lpstr>USDA Purchases Chart</vt:lpstr>
      <vt:lpstr>Fresh Sales Chart</vt:lpstr>
      <vt:lpstr>Processed Sales Chart</vt:lpstr>
      <vt:lpstr>Tot. Supply vs Tot. Sales Chart</vt:lpstr>
      <vt:lpstr>Carryin Inventories Chart</vt:lpstr>
      <vt:lpstr>CarryOut as % Sales Chart</vt:lpstr>
      <vt:lpstr>'Cycle Report'!Print_Area</vt:lpstr>
      <vt:lpstr>Estimate!Print_Area</vt:lpstr>
      <vt:lpstr>'Marketing Policy 2019'!Print_Area</vt:lpstr>
      <vt:lpstr>Sales!Print_Area</vt:lpstr>
      <vt:lpstr>'total available supply and Sale'!Print_Area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Valued Gateway Client</dc:creator>
  <cp:lastModifiedBy>KCahill</cp:lastModifiedBy>
  <cp:lastPrinted>2018-08-20T12:20:08Z</cp:lastPrinted>
  <dcterms:created xsi:type="dcterms:W3CDTF">2002-10-28T16:01:26Z</dcterms:created>
  <dcterms:modified xsi:type="dcterms:W3CDTF">2018-08-22T15:29:19Z</dcterms:modified>
</cp:coreProperties>
</file>