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worksheets/sheet7.xml" ContentType="application/vnd.openxmlformats-officedocument.spreadsheetml.work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C:\Users\pmauck\AppData\Local\Microsoft\Windows\Temporary Internet Files\Content.Outlook\XJLSFQAN\"/>
    </mc:Choice>
  </mc:AlternateContent>
  <xr:revisionPtr revIDLastSave="0" documentId="13_ncr:1_{1C320C8E-0CC7-406E-A382-9BE823D25873}" xr6:coauthVersionLast="44" xr6:coauthVersionMax="44" xr10:uidLastSave="{00000000-0000-0000-0000-000000000000}"/>
  <bookViews>
    <workbookView xWindow="-60" yWindow="-60" windowWidth="28920" windowHeight="15660" tabRatio="725" firstSheet="4" activeTab="5" xr2:uid="{00000000-000D-0000-FFFF-FFFF00000000}"/>
  </bookViews>
  <sheets>
    <sheet name="Cycle Report" sheetId="17" r:id="rId1"/>
    <sheet name="Acreage" sheetId="25" r:id="rId2"/>
    <sheet name="Acreage Chart" sheetId="27" r:id="rId3"/>
    <sheet name="Yield" sheetId="26" r:id="rId4"/>
    <sheet name="Yield Chart" sheetId="28" r:id="rId5"/>
    <sheet name="Estimate" sheetId="2" r:id="rId6"/>
    <sheet name="NON US Production" sheetId="12" r:id="rId7"/>
    <sheet name="Canada Production Chart" sheetId="24" r:id="rId8"/>
    <sheet name="USDA Purchases Chart" sheetId="22" r:id="rId9"/>
    <sheet name="Sales" sheetId="7" r:id="rId10"/>
    <sheet name="Fresh Sales Chart" sheetId="30" r:id="rId11"/>
    <sheet name="Processed Sales Chart" sheetId="23" r:id="rId12"/>
    <sheet name="Concentrate Sales Chart" sheetId="33" r:id="rId13"/>
    <sheet name="Total Available Supply and Sale" sheetId="6" r:id="rId14"/>
    <sheet name="Tot. Supply vs Tot. Sales Chart" sheetId="18" r:id="rId15"/>
    <sheet name="Carryin Inventories Chart" sheetId="19" r:id="rId16"/>
    <sheet name="CarryOut as % Sales Chart" sheetId="20" r:id="rId17"/>
    <sheet name="Marketing Policy" sheetId="3" r:id="rId18"/>
    <sheet name="Marketing Policy Guide Sheet" sheetId="31" r:id="rId19"/>
    <sheet name="Calculating Allotment Percent" sheetId="16" state="hidden" r:id="rId20"/>
    <sheet name="Allotment Percent Guide Sheet" sheetId="32" state="hidden" r:id="rId21"/>
    <sheet name="PA Impact" sheetId="34" r:id="rId22"/>
    <sheet name="HW Impact" sheetId="35" r:id="rId23"/>
    <sheet name="Results of Allotment" sheetId="15" state="hidden" r:id="rId24"/>
    <sheet name="Calculating HW" sheetId="29" state="hidden" r:id="rId25"/>
  </sheets>
  <definedNames>
    <definedName name="_xlnm.Print_Area" localSheetId="20">'Allotment Percent Guide Sheet'!$A$1:$C$12</definedName>
    <definedName name="_xlnm.Print_Area" localSheetId="19">'Calculating Allotment Percent'!$A$1:$C$27</definedName>
    <definedName name="_xlnm.Print_Area" localSheetId="0">'Cycle Report'!$A$1:$N$369</definedName>
    <definedName name="_xlnm.Print_Area" localSheetId="5">Estimate!$B$1:$D$44</definedName>
    <definedName name="_xlnm.Print_Area" localSheetId="17">'Marketing Policy'!$A$1:$H$23</definedName>
    <definedName name="_xlnm.Print_Area" localSheetId="18">'Marketing Policy Guide Sheet'!$A$1:$E$17</definedName>
    <definedName name="_xlnm.Print_Area" localSheetId="9">Sales!$A$1:$L$37</definedName>
    <definedName name="_xlnm.Print_Area" localSheetId="13">'Total Available Supply and Sale'!$A$1:$L$36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4" i="2" l="1"/>
  <c r="D42" i="2"/>
  <c r="D37" i="2"/>
  <c r="D32" i="2"/>
  <c r="D22" i="2"/>
  <c r="D15" i="2"/>
  <c r="D5" i="34" l="1"/>
  <c r="I32" i="7" l="1"/>
  <c r="D3" i="35" l="1"/>
  <c r="M31" i="12" l="1"/>
  <c r="J31" i="12"/>
  <c r="H31" i="12"/>
  <c r="E31" i="12"/>
  <c r="C25" i="34" l="1"/>
  <c r="C9" i="34" s="1"/>
  <c r="C20" i="34"/>
  <c r="D11" i="34"/>
  <c r="D13" i="34" s="1"/>
  <c r="D15" i="34" s="1"/>
  <c r="C10" i="34" l="1"/>
  <c r="C11" i="34" s="1"/>
  <c r="C13" i="34" s="1"/>
  <c r="C15" i="34" s="1"/>
  <c r="D9" i="34"/>
  <c r="K31" i="7" l="1"/>
  <c r="K32" i="7"/>
  <c r="K23" i="7"/>
  <c r="K24" i="7"/>
  <c r="K25" i="7"/>
  <c r="K26" i="7"/>
  <c r="K27" i="7"/>
  <c r="K28" i="7"/>
  <c r="K29" i="7"/>
  <c r="K30" i="7"/>
  <c r="N29" i="12" l="1"/>
  <c r="K29" i="12"/>
  <c r="O29" i="12" s="1"/>
  <c r="I29" i="12"/>
  <c r="F29" i="12"/>
  <c r="I31" i="7" l="1"/>
  <c r="I30" i="7"/>
  <c r="I29" i="7"/>
  <c r="I28" i="7"/>
  <c r="I27" i="7"/>
  <c r="I26" i="7"/>
  <c r="I25" i="7"/>
  <c r="I24" i="7"/>
  <c r="I23" i="7"/>
  <c r="I22" i="7"/>
  <c r="I21" i="7"/>
  <c r="H33" i="7"/>
  <c r="H34" i="7" s="1"/>
  <c r="G33" i="7" l="1"/>
  <c r="G34" i="7" s="1"/>
  <c r="L4" i="7"/>
  <c r="L5" i="7"/>
  <c r="L6" i="7"/>
  <c r="L7" i="7"/>
  <c r="L8" i="7"/>
  <c r="L9" i="7"/>
  <c r="L10" i="7"/>
  <c r="L11" i="7"/>
  <c r="L12" i="7"/>
  <c r="L13" i="7"/>
  <c r="L14" i="7"/>
  <c r="L15" i="7"/>
  <c r="L16" i="7"/>
  <c r="L17" i="7"/>
  <c r="L18" i="7"/>
  <c r="L19" i="7"/>
  <c r="L20" i="7"/>
  <c r="L21" i="7"/>
  <c r="L22" i="7"/>
  <c r="L23" i="7"/>
  <c r="L24" i="7"/>
  <c r="L25" i="7"/>
  <c r="L26" i="7"/>
  <c r="L27" i="7"/>
  <c r="L28" i="7"/>
  <c r="L29" i="7"/>
  <c r="L30" i="7"/>
  <c r="L31" i="7"/>
  <c r="L32" i="7"/>
  <c r="L3" i="7"/>
  <c r="K3" i="7"/>
  <c r="J3" i="7"/>
  <c r="I17" i="7"/>
  <c r="I18" i="7"/>
  <c r="I19" i="7"/>
  <c r="I20" i="7"/>
  <c r="I15" i="7"/>
  <c r="I14" i="7"/>
  <c r="I13" i="7"/>
  <c r="I12" i="7"/>
  <c r="I11" i="7"/>
  <c r="I10" i="7"/>
  <c r="I9" i="7"/>
  <c r="I8" i="7"/>
  <c r="I7" i="7"/>
  <c r="I6" i="7"/>
  <c r="I5" i="7"/>
  <c r="I4" i="7"/>
  <c r="I3" i="7"/>
  <c r="E33" i="7"/>
  <c r="E34" i="7" s="1"/>
  <c r="L332" i="17" l="1"/>
  <c r="N332" i="17"/>
  <c r="M332" i="17"/>
  <c r="K332" i="17"/>
  <c r="J332" i="17"/>
  <c r="I332" i="17"/>
  <c r="H332" i="17"/>
  <c r="G332" i="17"/>
  <c r="F332" i="17"/>
  <c r="E332" i="17"/>
  <c r="K283" i="17"/>
  <c r="J283" i="17"/>
  <c r="I283" i="17"/>
  <c r="H283" i="17"/>
  <c r="G283" i="17"/>
  <c r="F283" i="17"/>
  <c r="E283" i="17"/>
  <c r="L283" i="17"/>
  <c r="M283" i="17"/>
  <c r="N184" i="17"/>
  <c r="M184" i="17"/>
  <c r="L184" i="17"/>
  <c r="K184" i="17"/>
  <c r="J184" i="17"/>
  <c r="I184" i="17"/>
  <c r="H184" i="17"/>
  <c r="G184" i="17"/>
  <c r="F184" i="17"/>
  <c r="E184" i="17"/>
  <c r="E129" i="17"/>
  <c r="L129" i="17"/>
  <c r="M134" i="17"/>
  <c r="L134" i="17"/>
  <c r="K134" i="17"/>
  <c r="J134" i="17"/>
  <c r="I134" i="17"/>
  <c r="H134" i="17"/>
  <c r="G134" i="17"/>
  <c r="F134" i="17"/>
  <c r="E134" i="17"/>
  <c r="D134" i="17"/>
  <c r="N134" i="17"/>
  <c r="E85" i="17"/>
  <c r="F85" i="17"/>
  <c r="G85" i="17"/>
  <c r="H85" i="17"/>
  <c r="I85" i="17"/>
  <c r="J85" i="17"/>
  <c r="K85" i="17"/>
  <c r="L85" i="17"/>
  <c r="N87" i="17"/>
  <c r="N89" i="17" s="1"/>
  <c r="N80" i="17"/>
  <c r="M85" i="17"/>
  <c r="N85" i="17"/>
  <c r="E36" i="17"/>
  <c r="F36" i="17"/>
  <c r="G36" i="17"/>
  <c r="H36" i="17"/>
  <c r="I36" i="17"/>
  <c r="J36" i="17"/>
  <c r="K36" i="17"/>
  <c r="L36" i="17"/>
  <c r="M36" i="17"/>
  <c r="E233" i="17"/>
  <c r="J233" i="17"/>
  <c r="K233" i="17"/>
  <c r="L233" i="17"/>
  <c r="N233" i="17"/>
  <c r="N36" i="17"/>
  <c r="F233" i="17"/>
  <c r="G233" i="17"/>
  <c r="H233" i="17"/>
  <c r="I233" i="17"/>
  <c r="M233" i="17"/>
  <c r="N326" i="17"/>
  <c r="P233" i="17" l="1"/>
  <c r="O233" i="17"/>
  <c r="P184" i="17"/>
  <c r="O184" i="17"/>
  <c r="C42" i="2"/>
  <c r="G33" i="6"/>
  <c r="F16" i="3" s="1"/>
  <c r="E33" i="6"/>
  <c r="D33" i="6"/>
  <c r="D33" i="7"/>
  <c r="K33" i="7" s="1"/>
  <c r="F33" i="7"/>
  <c r="L33" i="7" s="1"/>
  <c r="C33" i="7"/>
  <c r="B33" i="7"/>
  <c r="E18" i="26"/>
  <c r="E17" i="26"/>
  <c r="E19" i="26"/>
  <c r="G21" i="25"/>
  <c r="G20" i="25"/>
  <c r="F20" i="3" l="1"/>
  <c r="D20" i="3" s="1"/>
  <c r="C24" i="35" s="1"/>
  <c r="D24" i="35" s="1"/>
  <c r="I33" i="7"/>
  <c r="F34" i="7"/>
  <c r="L34" i="7"/>
  <c r="I27" i="12"/>
  <c r="I28" i="12"/>
  <c r="I30" i="12"/>
  <c r="C37" i="2" l="1"/>
  <c r="C32" i="2"/>
  <c r="C22" i="2"/>
  <c r="C15" i="2"/>
  <c r="C44" i="2" l="1"/>
  <c r="C7" i="16" s="1"/>
  <c r="M195" i="17"/>
  <c r="F10" i="3" l="1"/>
  <c r="D10" i="3" s="1"/>
  <c r="C9" i="35" s="1"/>
  <c r="D9" i="35" s="1"/>
  <c r="N28" i="12"/>
  <c r="N30" i="12"/>
  <c r="N27" i="12"/>
  <c r="C9" i="16" l="1"/>
  <c r="F30" i="12"/>
  <c r="F27" i="12"/>
  <c r="F28" i="12"/>
  <c r="K30" i="12" l="1"/>
  <c r="K31" i="12" s="1"/>
  <c r="G32" i="6" l="1"/>
  <c r="G34" i="6" s="1"/>
  <c r="G31" i="6"/>
  <c r="G30" i="6"/>
  <c r="E32" i="6"/>
  <c r="E34" i="6" s="1"/>
  <c r="E31" i="6"/>
  <c r="E30" i="6"/>
  <c r="D32" i="6"/>
  <c r="D34" i="6" s="1"/>
  <c r="D30" i="6"/>
  <c r="C34" i="7"/>
  <c r="B34" i="7"/>
  <c r="N327" i="17"/>
  <c r="K28" i="12"/>
  <c r="O28" i="12" s="1"/>
  <c r="O30" i="12"/>
  <c r="O31" i="12" s="1"/>
  <c r="F19" i="26"/>
  <c r="F18" i="26"/>
  <c r="F17" i="26"/>
  <c r="D19" i="26"/>
  <c r="D18" i="26"/>
  <c r="D17" i="26"/>
  <c r="C19" i="26"/>
  <c r="C18" i="26"/>
  <c r="C17" i="26"/>
  <c r="B19" i="26"/>
  <c r="B18" i="26"/>
  <c r="B16" i="26"/>
  <c r="B17" i="26"/>
  <c r="F16" i="26"/>
  <c r="E16" i="26"/>
  <c r="D16" i="26"/>
  <c r="C16" i="26"/>
  <c r="N348" i="17"/>
  <c r="N343" i="17"/>
  <c r="N349" i="17" s="1"/>
  <c r="N316" i="17"/>
  <c r="N319" i="17" s="1"/>
  <c r="N305" i="17"/>
  <c r="N307" i="17" s="1"/>
  <c r="N298" i="17"/>
  <c r="N294" i="17"/>
  <c r="N283" i="17"/>
  <c r="N278" i="17"/>
  <c r="N267" i="17"/>
  <c r="N270" i="17" s="1"/>
  <c r="N256" i="17"/>
  <c r="N258" i="17" s="1"/>
  <c r="N249" i="17"/>
  <c r="N244" i="17"/>
  <c r="N228" i="17"/>
  <c r="N217" i="17"/>
  <c r="N206" i="17"/>
  <c r="N208" i="17" s="1"/>
  <c r="N199" i="17"/>
  <c r="N195" i="17"/>
  <c r="N179" i="17"/>
  <c r="N171" i="17"/>
  <c r="N157" i="17"/>
  <c r="N159" i="17" s="1"/>
  <c r="N150" i="17"/>
  <c r="N145" i="17"/>
  <c r="N129" i="17"/>
  <c r="N136" i="17" s="1"/>
  <c r="N118" i="17"/>
  <c r="N121" i="17" s="1"/>
  <c r="N107" i="17"/>
  <c r="N109" i="17" s="1"/>
  <c r="N100" i="17"/>
  <c r="N96" i="17"/>
  <c r="N72" i="17"/>
  <c r="N69" i="17"/>
  <c r="N58" i="17"/>
  <c r="N60" i="17" s="1"/>
  <c r="N51" i="17"/>
  <c r="N47" i="17"/>
  <c r="N31" i="17"/>
  <c r="N20" i="17"/>
  <c r="N9" i="17"/>
  <c r="N11" i="17" s="1"/>
  <c r="M348" i="17"/>
  <c r="M343" i="17"/>
  <c r="M349" i="17" s="1"/>
  <c r="M327" i="17"/>
  <c r="M316" i="17"/>
  <c r="M319" i="17" s="1"/>
  <c r="M305" i="17"/>
  <c r="M307" i="17" s="1"/>
  <c r="B32" i="6" s="1"/>
  <c r="M298" i="17"/>
  <c r="M294" i="17"/>
  <c r="M278" i="17"/>
  <c r="M267" i="17"/>
  <c r="M256" i="17"/>
  <c r="M258" i="17" s="1"/>
  <c r="M249" i="17"/>
  <c r="M244" i="17"/>
  <c r="M228" i="17"/>
  <c r="M235" i="17" s="1"/>
  <c r="M237" i="17" s="1"/>
  <c r="M217" i="17"/>
  <c r="M220" i="17" s="1"/>
  <c r="M206" i="17"/>
  <c r="M208" i="17" s="1"/>
  <c r="M199" i="17"/>
  <c r="M179" i="17"/>
  <c r="M171" i="17"/>
  <c r="M157" i="17"/>
  <c r="M159" i="17" s="1"/>
  <c r="M150" i="17"/>
  <c r="M145" i="17"/>
  <c r="M129" i="17"/>
  <c r="M136" i="17" s="1"/>
  <c r="M138" i="17" s="1"/>
  <c r="M118" i="17"/>
  <c r="M121" i="17" s="1"/>
  <c r="M107" i="17"/>
  <c r="M109" i="17" s="1"/>
  <c r="M100" i="17"/>
  <c r="M96" i="17"/>
  <c r="M80" i="17"/>
  <c r="M87" i="17" s="1"/>
  <c r="M72" i="17"/>
  <c r="M69" i="17"/>
  <c r="M58" i="17"/>
  <c r="M60" i="17" s="1"/>
  <c r="M51" i="17"/>
  <c r="M47" i="17"/>
  <c r="M31" i="17"/>
  <c r="M20" i="17"/>
  <c r="M23" i="17" s="1"/>
  <c r="M9" i="17"/>
  <c r="M11" i="17" s="1"/>
  <c r="O179" i="17" l="1"/>
  <c r="O217" i="17"/>
  <c r="O195" i="17"/>
  <c r="O228" i="17"/>
  <c r="O159" i="17"/>
  <c r="O244" i="17"/>
  <c r="O171" i="17"/>
  <c r="B33" i="6"/>
  <c r="F7" i="3" s="1"/>
  <c r="O208" i="17"/>
  <c r="N122" i="17"/>
  <c r="B34" i="6"/>
  <c r="N220" i="17"/>
  <c r="C33" i="6"/>
  <c r="N285" i="17"/>
  <c r="N287" i="17" s="1"/>
  <c r="N48" i="17"/>
  <c r="N130" i="17"/>
  <c r="M89" i="17"/>
  <c r="N245" i="17"/>
  <c r="N73" i="17"/>
  <c r="N172" i="17"/>
  <c r="M38" i="17"/>
  <c r="M40" i="17" s="1"/>
  <c r="M49" i="17" s="1"/>
  <c r="M186" i="17"/>
  <c r="M188" i="17" s="1"/>
  <c r="M270" i="17"/>
  <c r="N186" i="17"/>
  <c r="C32" i="6"/>
  <c r="H32" i="6" s="1"/>
  <c r="N81" i="17"/>
  <c r="N268" i="17"/>
  <c r="N97" i="17"/>
  <c r="G19" i="26"/>
  <c r="N21" i="17"/>
  <c r="N32" i="17"/>
  <c r="J33" i="7"/>
  <c r="F19" i="3" s="1"/>
  <c r="N234" i="17"/>
  <c r="M247" i="17"/>
  <c r="N196" i="17"/>
  <c r="N180" i="17"/>
  <c r="N135" i="17"/>
  <c r="N86" i="17"/>
  <c r="N235" i="17"/>
  <c r="N328" i="17"/>
  <c r="N295" i="17"/>
  <c r="N334" i="17"/>
  <c r="N336" i="17" s="1"/>
  <c r="N350" i="17" s="1"/>
  <c r="N365" i="17" s="1"/>
  <c r="M285" i="17"/>
  <c r="M287" i="17" s="1"/>
  <c r="N288" i="17" s="1"/>
  <c r="N279" i="17"/>
  <c r="N38" i="17"/>
  <c r="N40" i="17" s="1"/>
  <c r="N368" i="17" s="1"/>
  <c r="N23" i="17"/>
  <c r="N24" i="17" s="1"/>
  <c r="N308" i="17"/>
  <c r="N359" i="17"/>
  <c r="N209" i="17"/>
  <c r="N160" i="17"/>
  <c r="N355" i="17"/>
  <c r="N320" i="17"/>
  <c r="N259" i="17"/>
  <c r="N296" i="17"/>
  <c r="N61" i="17"/>
  <c r="N98" i="17"/>
  <c r="N110" i="17"/>
  <c r="N12" i="17"/>
  <c r="N37" i="17"/>
  <c r="N138" i="17"/>
  <c r="N146" i="17"/>
  <c r="N185" i="17"/>
  <c r="N218" i="17"/>
  <c r="N229" i="17"/>
  <c r="N333" i="17"/>
  <c r="N353" i="17"/>
  <c r="N119" i="17"/>
  <c r="N284" i="17"/>
  <c r="N317" i="17"/>
  <c r="N344" i="17"/>
  <c r="M355" i="17"/>
  <c r="M359" i="17"/>
  <c r="M368" i="17"/>
  <c r="M353" i="17"/>
  <c r="M246" i="17"/>
  <c r="M334" i="17"/>
  <c r="O235" i="17" l="1"/>
  <c r="N221" i="17"/>
  <c r="O220" i="17"/>
  <c r="D19" i="3"/>
  <c r="C23" i="35" s="1"/>
  <c r="F21" i="3"/>
  <c r="N188" i="17"/>
  <c r="O186" i="17"/>
  <c r="H33" i="6"/>
  <c r="D21" i="3"/>
  <c r="D28" i="3" s="1"/>
  <c r="F9" i="3"/>
  <c r="N237" i="17"/>
  <c r="F33" i="6"/>
  <c r="I33" i="6" s="1"/>
  <c r="L33" i="6" s="1"/>
  <c r="N356" i="17"/>
  <c r="M197" i="17"/>
  <c r="M98" i="17"/>
  <c r="N90" i="17"/>
  <c r="C13" i="16"/>
  <c r="C21" i="16" s="1"/>
  <c r="M336" i="17"/>
  <c r="M346" i="17" s="1"/>
  <c r="F32" i="6"/>
  <c r="J32" i="6" s="1"/>
  <c r="C34" i="6"/>
  <c r="N271" i="17"/>
  <c r="M296" i="17"/>
  <c r="N189" i="17"/>
  <c r="D34" i="7"/>
  <c r="N139" i="17"/>
  <c r="M148" i="17"/>
  <c r="N345" i="17"/>
  <c r="N346" i="17"/>
  <c r="N41" i="17"/>
  <c r="N49" i="17"/>
  <c r="N360" i="17"/>
  <c r="N147" i="17"/>
  <c r="N148" i="17"/>
  <c r="N354" i="17"/>
  <c r="N357" i="17"/>
  <c r="N351" i="17"/>
  <c r="M147" i="17"/>
  <c r="M357" i="17"/>
  <c r="M361" i="17" s="1"/>
  <c r="N197" i="17" l="1"/>
  <c r="O188" i="17"/>
  <c r="N238" i="17"/>
  <c r="O237" i="17"/>
  <c r="C25" i="35"/>
  <c r="D25" i="35" s="1"/>
  <c r="D23" i="35"/>
  <c r="F22" i="3"/>
  <c r="F23" i="3" s="1"/>
  <c r="H34" i="6"/>
  <c r="D7" i="3"/>
  <c r="M345" i="17"/>
  <c r="N247" i="17"/>
  <c r="N246" i="17"/>
  <c r="J33" i="6"/>
  <c r="K33" i="6" s="1"/>
  <c r="N337" i="17"/>
  <c r="I32" i="6"/>
  <c r="L32" i="6" s="1"/>
  <c r="M350" i="17"/>
  <c r="M365" i="17" s="1"/>
  <c r="F34" i="6"/>
  <c r="N363" i="17"/>
  <c r="N358" i="17"/>
  <c r="N361" i="17"/>
  <c r="M363" i="17"/>
  <c r="D14" i="3" l="1"/>
  <c r="C15" i="35" s="1"/>
  <c r="D15" i="35" s="1"/>
  <c r="C6" i="35"/>
  <c r="D6" i="35" s="1"/>
  <c r="I34" i="6"/>
  <c r="M351" i="17"/>
  <c r="E16" i="3"/>
  <c r="E12" i="3"/>
  <c r="E17" i="3" s="1"/>
  <c r="C5" i="16"/>
  <c r="M366" i="17"/>
  <c r="N364" i="17"/>
  <c r="N366" i="17"/>
  <c r="C11" i="16" l="1"/>
  <c r="E22" i="3"/>
  <c r="L343" i="17"/>
  <c r="M344" i="17" s="1"/>
  <c r="L325" i="17"/>
  <c r="L318" i="17"/>
  <c r="D31" i="6" s="1"/>
  <c r="L305" i="17"/>
  <c r="L294" i="17"/>
  <c r="M295" i="17" s="1"/>
  <c r="L276" i="17"/>
  <c r="L267" i="17"/>
  <c r="M268" i="17" s="1"/>
  <c r="L256" i="17"/>
  <c r="L244" i="17"/>
  <c r="M245" i="17" s="1"/>
  <c r="L219" i="17"/>
  <c r="L206" i="17"/>
  <c r="L170" i="17"/>
  <c r="L157" i="17"/>
  <c r="L145" i="17"/>
  <c r="M146" i="17" s="1"/>
  <c r="L120" i="17"/>
  <c r="L107" i="17"/>
  <c r="L9" i="17"/>
  <c r="L11" i="17" s="1"/>
  <c r="M12" i="17" s="1"/>
  <c r="L47" i="17"/>
  <c r="M48" i="17" s="1"/>
  <c r="L96" i="17"/>
  <c r="M97" i="17" s="1"/>
  <c r="L78" i="17"/>
  <c r="L57" i="17"/>
  <c r="L56" i="17"/>
  <c r="L55" i="17"/>
  <c r="L54" i="17"/>
  <c r="L22" i="17"/>
  <c r="C15" i="16" l="1"/>
  <c r="C19" i="16" s="1"/>
  <c r="C23" i="16" s="1"/>
  <c r="C27" i="16" s="1"/>
  <c r="J32" i="7"/>
  <c r="J34" i="7" s="1"/>
  <c r="K29" i="17" l="1"/>
  <c r="K187" i="17"/>
  <c r="K27" i="12" l="1"/>
  <c r="O27" i="12" s="1"/>
  <c r="G29" i="6"/>
  <c r="G28" i="6"/>
  <c r="G27" i="6"/>
  <c r="G26" i="6"/>
  <c r="G25" i="6"/>
  <c r="G24" i="6"/>
  <c r="G23" i="6"/>
  <c r="G22" i="6"/>
  <c r="G21" i="6"/>
  <c r="D29" i="6"/>
  <c r="D28" i="6"/>
  <c r="D27" i="6"/>
  <c r="D26" i="6"/>
  <c r="D25" i="6"/>
  <c r="D24" i="6"/>
  <c r="D23" i="6"/>
  <c r="D22" i="6"/>
  <c r="D21" i="6"/>
  <c r="E29" i="6"/>
  <c r="E28" i="6"/>
  <c r="E27" i="6"/>
  <c r="E26" i="6"/>
  <c r="E25" i="6"/>
  <c r="E24" i="6"/>
  <c r="E23" i="6"/>
  <c r="E22" i="6"/>
  <c r="E21" i="6"/>
  <c r="J29" i="7" l="1"/>
  <c r="J30" i="7"/>
  <c r="L258" i="17" l="1"/>
  <c r="M259" i="17" s="1"/>
  <c r="L316" i="17"/>
  <c r="C31" i="6" s="1"/>
  <c r="L348" i="17"/>
  <c r="L298" i="17"/>
  <c r="L249" i="17"/>
  <c r="L199" i="17"/>
  <c r="L150" i="17"/>
  <c r="L100" i="17"/>
  <c r="L51" i="17"/>
  <c r="L349" i="17"/>
  <c r="M333" i="17"/>
  <c r="L327" i="17"/>
  <c r="M328" i="17" s="1"/>
  <c r="L307" i="17"/>
  <c r="M284" i="17"/>
  <c r="L278" i="17"/>
  <c r="M279" i="17" s="1"/>
  <c r="L270" i="17"/>
  <c r="M271" i="17" s="1"/>
  <c r="M234" i="17"/>
  <c r="L228" i="17"/>
  <c r="M229" i="17" s="1"/>
  <c r="L217" i="17"/>
  <c r="M218" i="17" s="1"/>
  <c r="L208" i="17"/>
  <c r="M209" i="17" s="1"/>
  <c r="L195" i="17"/>
  <c r="M196" i="17" s="1"/>
  <c r="M185" i="17"/>
  <c r="L179" i="17"/>
  <c r="M180" i="17" s="1"/>
  <c r="L171" i="17"/>
  <c r="M172" i="17" s="1"/>
  <c r="L159" i="17"/>
  <c r="M160" i="17" s="1"/>
  <c r="M135" i="17"/>
  <c r="M130" i="17"/>
  <c r="L118" i="17"/>
  <c r="M119" i="17" s="1"/>
  <c r="L109" i="17"/>
  <c r="M110" i="17" s="1"/>
  <c r="L80" i="17"/>
  <c r="M81" i="17" s="1"/>
  <c r="L72" i="17"/>
  <c r="M73" i="17" s="1"/>
  <c r="L69" i="17"/>
  <c r="L58" i="17"/>
  <c r="L60" i="17" s="1"/>
  <c r="M61" i="17" s="1"/>
  <c r="M37" i="17"/>
  <c r="L31" i="17"/>
  <c r="L20" i="17"/>
  <c r="M21" i="17" s="1"/>
  <c r="J369" i="17"/>
  <c r="I369" i="17"/>
  <c r="H369" i="17"/>
  <c r="G369" i="17"/>
  <c r="F369" i="17"/>
  <c r="E369" i="17"/>
  <c r="J366" i="17"/>
  <c r="I366" i="17"/>
  <c r="H366" i="17"/>
  <c r="G366" i="17"/>
  <c r="F366" i="17"/>
  <c r="E366" i="17"/>
  <c r="D366" i="17"/>
  <c r="C366" i="17"/>
  <c r="B366" i="17"/>
  <c r="J364" i="17"/>
  <c r="I364" i="17"/>
  <c r="H364" i="17"/>
  <c r="G364" i="17"/>
  <c r="F364" i="17"/>
  <c r="E364" i="17"/>
  <c r="D364" i="17"/>
  <c r="C364" i="17"/>
  <c r="J360" i="17"/>
  <c r="I360" i="17"/>
  <c r="H360" i="17"/>
  <c r="G360" i="17"/>
  <c r="F360" i="17"/>
  <c r="E360" i="17"/>
  <c r="D360" i="17"/>
  <c r="C360" i="17"/>
  <c r="J357" i="17"/>
  <c r="I357" i="17"/>
  <c r="I361" i="17" s="1"/>
  <c r="H357" i="17"/>
  <c r="H361" i="17" s="1"/>
  <c r="G357" i="17"/>
  <c r="F357" i="17"/>
  <c r="E357" i="17"/>
  <c r="E361" i="17" s="1"/>
  <c r="D357" i="17"/>
  <c r="D361" i="17" s="1"/>
  <c r="C357" i="17"/>
  <c r="J356" i="17"/>
  <c r="I356" i="17"/>
  <c r="H356" i="17"/>
  <c r="G356" i="17"/>
  <c r="F356" i="17"/>
  <c r="E356" i="17"/>
  <c r="D356" i="17"/>
  <c r="C356" i="17"/>
  <c r="J354" i="17"/>
  <c r="I354" i="17"/>
  <c r="H354" i="17"/>
  <c r="G354" i="17"/>
  <c r="F354" i="17"/>
  <c r="E354" i="17"/>
  <c r="D354" i="17"/>
  <c r="C354" i="17"/>
  <c r="J351" i="17"/>
  <c r="I351" i="17"/>
  <c r="H351" i="17"/>
  <c r="G351" i="17"/>
  <c r="F351" i="17"/>
  <c r="E351" i="17"/>
  <c r="D351" i="17"/>
  <c r="C351" i="17"/>
  <c r="B351" i="17"/>
  <c r="K343" i="17"/>
  <c r="K349" i="17" s="1"/>
  <c r="K359" i="17" s="1"/>
  <c r="K360" i="17" s="1"/>
  <c r="J343" i="17"/>
  <c r="I343" i="17"/>
  <c r="H343" i="17"/>
  <c r="G343" i="17"/>
  <c r="F343" i="17"/>
  <c r="E343" i="17"/>
  <c r="D343" i="17"/>
  <c r="C343" i="17"/>
  <c r="B343" i="17"/>
  <c r="D332" i="17"/>
  <c r="C332" i="17"/>
  <c r="B332" i="17"/>
  <c r="K327" i="17"/>
  <c r="J327" i="17"/>
  <c r="I327" i="17"/>
  <c r="H327" i="17"/>
  <c r="G327" i="17"/>
  <c r="F327" i="17"/>
  <c r="E327" i="17"/>
  <c r="D327" i="17"/>
  <c r="C327" i="17"/>
  <c r="B327" i="17"/>
  <c r="K316" i="17"/>
  <c r="K319" i="17" s="1"/>
  <c r="J316" i="17"/>
  <c r="I316" i="17"/>
  <c r="H316" i="17"/>
  <c r="C27" i="6" s="1"/>
  <c r="G316" i="17"/>
  <c r="C26" i="6" s="1"/>
  <c r="F316" i="17"/>
  <c r="C25" i="6" s="1"/>
  <c r="E316" i="17"/>
  <c r="C24" i="6" s="1"/>
  <c r="D316" i="17"/>
  <c r="C23" i="6" s="1"/>
  <c r="C316" i="17"/>
  <c r="C22" i="6" s="1"/>
  <c r="B316" i="17"/>
  <c r="K305" i="17"/>
  <c r="K307" i="17" s="1"/>
  <c r="B30" i="6" s="1"/>
  <c r="J305" i="17"/>
  <c r="I305" i="17"/>
  <c r="I307" i="17" s="1"/>
  <c r="B28" i="6" s="1"/>
  <c r="H305" i="17"/>
  <c r="H307" i="17" s="1"/>
  <c r="B27" i="6" s="1"/>
  <c r="G305" i="17"/>
  <c r="G307" i="17" s="1"/>
  <c r="B26" i="6" s="1"/>
  <c r="F305" i="17"/>
  <c r="F307" i="17" s="1"/>
  <c r="B25" i="6" s="1"/>
  <c r="E305" i="17"/>
  <c r="E307" i="17" s="1"/>
  <c r="B24" i="6" s="1"/>
  <c r="D305" i="17"/>
  <c r="D307" i="17" s="1"/>
  <c r="B23" i="6" s="1"/>
  <c r="C305" i="17"/>
  <c r="C307" i="17" s="1"/>
  <c r="B22" i="6" s="1"/>
  <c r="B305" i="17"/>
  <c r="B307" i="17" s="1"/>
  <c r="B21" i="6" s="1"/>
  <c r="K294" i="17"/>
  <c r="J294" i="17"/>
  <c r="I294" i="17"/>
  <c r="H294" i="17"/>
  <c r="G294" i="17"/>
  <c r="F294" i="17"/>
  <c r="E294" i="17"/>
  <c r="D294" i="17"/>
  <c r="C294" i="17"/>
  <c r="B294" i="17"/>
  <c r="D283" i="17"/>
  <c r="C283" i="17"/>
  <c r="B283" i="17"/>
  <c r="K278" i="17"/>
  <c r="I278" i="17"/>
  <c r="H278" i="17"/>
  <c r="G278" i="17"/>
  <c r="F278" i="17"/>
  <c r="E278" i="17"/>
  <c r="D278" i="17"/>
  <c r="C278" i="17"/>
  <c r="B278" i="17"/>
  <c r="J276" i="17"/>
  <c r="J278" i="17" s="1"/>
  <c r="I270" i="17"/>
  <c r="H270" i="17"/>
  <c r="G270" i="17"/>
  <c r="F270" i="17"/>
  <c r="E270" i="17"/>
  <c r="K267" i="17"/>
  <c r="K270" i="17" s="1"/>
  <c r="J267" i="17"/>
  <c r="D267" i="17"/>
  <c r="D270" i="17" s="1"/>
  <c r="C267" i="17"/>
  <c r="C270" i="17" s="1"/>
  <c r="B267" i="17"/>
  <c r="B270" i="17" s="1"/>
  <c r="K256" i="17"/>
  <c r="K258" i="17" s="1"/>
  <c r="J256" i="17"/>
  <c r="J258" i="17" s="1"/>
  <c r="I256" i="17"/>
  <c r="I258" i="17" s="1"/>
  <c r="H256" i="17"/>
  <c r="H258" i="17" s="1"/>
  <c r="G256" i="17"/>
  <c r="G258" i="17" s="1"/>
  <c r="F256" i="17"/>
  <c r="F258" i="17" s="1"/>
  <c r="E256" i="17"/>
  <c r="E258" i="17" s="1"/>
  <c r="D256" i="17"/>
  <c r="D258" i="17" s="1"/>
  <c r="C256" i="17"/>
  <c r="C258" i="17" s="1"/>
  <c r="B256" i="17"/>
  <c r="B258" i="17" s="1"/>
  <c r="K244" i="17"/>
  <c r="J244" i="17"/>
  <c r="P244" i="17" s="1"/>
  <c r="I244" i="17"/>
  <c r="H244" i="17"/>
  <c r="G244" i="17"/>
  <c r="F244" i="17"/>
  <c r="E244" i="17"/>
  <c r="D244" i="17"/>
  <c r="C244" i="17"/>
  <c r="B244" i="17"/>
  <c r="D233" i="17"/>
  <c r="C233" i="17"/>
  <c r="B233" i="17"/>
  <c r="K228" i="17"/>
  <c r="I228" i="17"/>
  <c r="H228" i="17"/>
  <c r="G228" i="17"/>
  <c r="F228" i="17"/>
  <c r="E228" i="17"/>
  <c r="D228" i="17"/>
  <c r="C228" i="17"/>
  <c r="B228" i="17"/>
  <c r="J228" i="17"/>
  <c r="P228" i="17" s="1"/>
  <c r="K217" i="17"/>
  <c r="K220" i="17" s="1"/>
  <c r="J217" i="17"/>
  <c r="P217" i="17" s="1"/>
  <c r="I217" i="17"/>
  <c r="I220" i="17" s="1"/>
  <c r="H217" i="17"/>
  <c r="G217" i="17"/>
  <c r="G220" i="17" s="1"/>
  <c r="F217" i="17"/>
  <c r="F220" i="17" s="1"/>
  <c r="E217" i="17"/>
  <c r="E220" i="17" s="1"/>
  <c r="D217" i="17"/>
  <c r="D220" i="17" s="1"/>
  <c r="C217" i="17"/>
  <c r="C220" i="17" s="1"/>
  <c r="B217" i="17"/>
  <c r="K206" i="17"/>
  <c r="K208" i="17" s="1"/>
  <c r="J206" i="17"/>
  <c r="J208" i="17" s="1"/>
  <c r="I206" i="17"/>
  <c r="I208" i="17" s="1"/>
  <c r="H206" i="17"/>
  <c r="H208" i="17" s="1"/>
  <c r="G206" i="17"/>
  <c r="G208" i="17" s="1"/>
  <c r="F206" i="17"/>
  <c r="F208" i="17" s="1"/>
  <c r="E206" i="17"/>
  <c r="E208" i="17" s="1"/>
  <c r="D206" i="17"/>
  <c r="D208" i="17" s="1"/>
  <c r="C206" i="17"/>
  <c r="C208" i="17" s="1"/>
  <c r="B206" i="17"/>
  <c r="B208" i="17" s="1"/>
  <c r="K195" i="17"/>
  <c r="J195" i="17"/>
  <c r="I195" i="17"/>
  <c r="H195" i="17"/>
  <c r="G195" i="17"/>
  <c r="F195" i="17"/>
  <c r="E195" i="17"/>
  <c r="D195" i="17"/>
  <c r="C195" i="17"/>
  <c r="B195" i="17"/>
  <c r="G185" i="17"/>
  <c r="D184" i="17"/>
  <c r="C184" i="17"/>
  <c r="B184" i="17"/>
  <c r="K179" i="17"/>
  <c r="I179" i="17"/>
  <c r="H179" i="17"/>
  <c r="G179" i="17"/>
  <c r="F179" i="17"/>
  <c r="E179" i="17"/>
  <c r="D179" i="17"/>
  <c r="C179" i="17"/>
  <c r="B179" i="17"/>
  <c r="J179" i="17"/>
  <c r="P179" i="17" s="1"/>
  <c r="K171" i="17"/>
  <c r="J171" i="17"/>
  <c r="P171" i="17" s="1"/>
  <c r="I168" i="17"/>
  <c r="I171" i="17" s="1"/>
  <c r="H168" i="17"/>
  <c r="H171" i="17" s="1"/>
  <c r="G168" i="17"/>
  <c r="G171" i="17" s="1"/>
  <c r="F168" i="17"/>
  <c r="F171" i="17" s="1"/>
  <c r="E168" i="17"/>
  <c r="E171" i="17" s="1"/>
  <c r="D168" i="17"/>
  <c r="D171" i="17" s="1"/>
  <c r="C168" i="17"/>
  <c r="C171" i="17" s="1"/>
  <c r="B168" i="17"/>
  <c r="B171" i="17" s="1"/>
  <c r="K157" i="17"/>
  <c r="K159" i="17" s="1"/>
  <c r="J157" i="17"/>
  <c r="J159" i="17" s="1"/>
  <c r="P159" i="17" s="1"/>
  <c r="I157" i="17"/>
  <c r="I159" i="17" s="1"/>
  <c r="H157" i="17"/>
  <c r="H159" i="17" s="1"/>
  <c r="G157" i="17"/>
  <c r="G159" i="17" s="1"/>
  <c r="F157" i="17"/>
  <c r="F159" i="17" s="1"/>
  <c r="E157" i="17"/>
  <c r="E159" i="17" s="1"/>
  <c r="D157" i="17"/>
  <c r="D159" i="17" s="1"/>
  <c r="C157" i="17"/>
  <c r="C159" i="17" s="1"/>
  <c r="B157" i="17"/>
  <c r="B159" i="17" s="1"/>
  <c r="K145" i="17"/>
  <c r="J145" i="17"/>
  <c r="I145" i="17"/>
  <c r="H145" i="17"/>
  <c r="G145" i="17"/>
  <c r="F145" i="17"/>
  <c r="E145" i="17"/>
  <c r="D145" i="17"/>
  <c r="C145" i="17"/>
  <c r="B145" i="17"/>
  <c r="C134" i="17"/>
  <c r="B134" i="17"/>
  <c r="K129" i="17"/>
  <c r="J129" i="17"/>
  <c r="I129" i="17"/>
  <c r="H129" i="17"/>
  <c r="G129" i="17"/>
  <c r="F129" i="17"/>
  <c r="D129" i="17"/>
  <c r="C129" i="17"/>
  <c r="B129" i="17"/>
  <c r="K118" i="17"/>
  <c r="K121" i="17" s="1"/>
  <c r="J118" i="17"/>
  <c r="I118" i="17"/>
  <c r="H118" i="17"/>
  <c r="G118" i="17"/>
  <c r="F118" i="17"/>
  <c r="E118" i="17"/>
  <c r="D118" i="17"/>
  <c r="C118" i="17"/>
  <c r="B118" i="17"/>
  <c r="B121" i="17" s="1"/>
  <c r="B108" i="17"/>
  <c r="K107" i="17"/>
  <c r="K109" i="17" s="1"/>
  <c r="J107" i="17"/>
  <c r="J109" i="17" s="1"/>
  <c r="I107" i="17"/>
  <c r="I109" i="17" s="1"/>
  <c r="H107" i="17"/>
  <c r="H109" i="17" s="1"/>
  <c r="G107" i="17"/>
  <c r="G109" i="17" s="1"/>
  <c r="F107" i="17"/>
  <c r="F109" i="17" s="1"/>
  <c r="E107" i="17"/>
  <c r="E109" i="17" s="1"/>
  <c r="D107" i="17"/>
  <c r="D109" i="17" s="1"/>
  <c r="C107" i="17"/>
  <c r="C109" i="17" s="1"/>
  <c r="B107" i="17"/>
  <c r="K96" i="17"/>
  <c r="J96" i="17"/>
  <c r="I96" i="17"/>
  <c r="H96" i="17"/>
  <c r="G96" i="17"/>
  <c r="F96" i="17"/>
  <c r="E96" i="17"/>
  <c r="D96" i="17"/>
  <c r="C96" i="17"/>
  <c r="B96" i="17"/>
  <c r="D85" i="17"/>
  <c r="C85" i="17"/>
  <c r="B85" i="17"/>
  <c r="J80" i="17"/>
  <c r="I80" i="17"/>
  <c r="H80" i="17"/>
  <c r="G80" i="17"/>
  <c r="F80" i="17"/>
  <c r="E80" i="17"/>
  <c r="E87" i="17" s="1"/>
  <c r="D80" i="17"/>
  <c r="C80" i="17"/>
  <c r="B80" i="17"/>
  <c r="K76" i="17"/>
  <c r="K80" i="17" s="1"/>
  <c r="K87" i="17" s="1"/>
  <c r="K72" i="17"/>
  <c r="K69" i="17"/>
  <c r="J69" i="17"/>
  <c r="J72" i="17" s="1"/>
  <c r="I69" i="17"/>
  <c r="I72" i="17" s="1"/>
  <c r="H69" i="17"/>
  <c r="H72" i="17" s="1"/>
  <c r="G69" i="17"/>
  <c r="G72" i="17" s="1"/>
  <c r="F69" i="17"/>
  <c r="F72" i="17" s="1"/>
  <c r="E69" i="17"/>
  <c r="E72" i="17" s="1"/>
  <c r="D69" i="17"/>
  <c r="D72" i="17" s="1"/>
  <c r="C69" i="17"/>
  <c r="C72" i="17" s="1"/>
  <c r="B69" i="17"/>
  <c r="B72" i="17" s="1"/>
  <c r="K59" i="17"/>
  <c r="K58" i="17"/>
  <c r="J58" i="17"/>
  <c r="J60" i="17" s="1"/>
  <c r="I58" i="17"/>
  <c r="I60" i="17" s="1"/>
  <c r="H58" i="17"/>
  <c r="H60" i="17" s="1"/>
  <c r="G58" i="17"/>
  <c r="G60" i="17" s="1"/>
  <c r="F58" i="17"/>
  <c r="F60" i="17" s="1"/>
  <c r="E58" i="17"/>
  <c r="E60" i="17" s="1"/>
  <c r="D58" i="17"/>
  <c r="D60" i="17" s="1"/>
  <c r="C58" i="17"/>
  <c r="C60" i="17" s="1"/>
  <c r="B58" i="17"/>
  <c r="B60" i="17" s="1"/>
  <c r="K47" i="17"/>
  <c r="L48" i="17" s="1"/>
  <c r="J47" i="17"/>
  <c r="I47" i="17"/>
  <c r="H47" i="17"/>
  <c r="G47" i="17"/>
  <c r="F47" i="17"/>
  <c r="E47" i="17"/>
  <c r="D47" i="17"/>
  <c r="C47" i="17"/>
  <c r="B47" i="17"/>
  <c r="K37" i="17"/>
  <c r="D36" i="17"/>
  <c r="C36" i="17"/>
  <c r="B36" i="17"/>
  <c r="K31" i="17"/>
  <c r="J31" i="17"/>
  <c r="I31" i="17"/>
  <c r="H31" i="17"/>
  <c r="G31" i="17"/>
  <c r="F31" i="17"/>
  <c r="E31" i="17"/>
  <c r="D31" i="17"/>
  <c r="C31" i="17"/>
  <c r="B31" i="17"/>
  <c r="K20" i="17"/>
  <c r="K23" i="17" s="1"/>
  <c r="J20" i="17"/>
  <c r="I20" i="17"/>
  <c r="H20" i="17"/>
  <c r="G20" i="17"/>
  <c r="F20" i="17"/>
  <c r="E20" i="17"/>
  <c r="D20" i="17"/>
  <c r="C20" i="17"/>
  <c r="B20" i="17"/>
  <c r="B23" i="17" s="1"/>
  <c r="K9" i="17"/>
  <c r="K11" i="17" s="1"/>
  <c r="J9" i="17"/>
  <c r="J11" i="17" s="1"/>
  <c r="I9" i="17"/>
  <c r="I11" i="17" s="1"/>
  <c r="H9" i="17"/>
  <c r="H11" i="17" s="1"/>
  <c r="G9" i="17"/>
  <c r="G11" i="17" s="1"/>
  <c r="F9" i="17"/>
  <c r="F11" i="17" s="1"/>
  <c r="E9" i="17"/>
  <c r="E11" i="17" s="1"/>
  <c r="D9" i="17"/>
  <c r="D11" i="17" s="1"/>
  <c r="C9" i="17"/>
  <c r="C11" i="17" s="1"/>
  <c r="B9" i="17"/>
  <c r="B11" i="17" s="1"/>
  <c r="P195" i="17" l="1"/>
  <c r="P208" i="17"/>
  <c r="G146" i="17"/>
  <c r="J97" i="17"/>
  <c r="J180" i="17"/>
  <c r="J186" i="17"/>
  <c r="M32" i="17"/>
  <c r="L38" i="17"/>
  <c r="M86" i="17"/>
  <c r="L87" i="17"/>
  <c r="L89" i="17" s="1"/>
  <c r="M90" i="17" s="1"/>
  <c r="F81" i="17"/>
  <c r="G73" i="17"/>
  <c r="H334" i="17"/>
  <c r="E89" i="17"/>
  <c r="E98" i="17" s="1"/>
  <c r="F146" i="17"/>
  <c r="J73" i="17"/>
  <c r="B235" i="17"/>
  <c r="B237" i="17" s="1"/>
  <c r="B247" i="17" s="1"/>
  <c r="I136" i="17"/>
  <c r="I138" i="17" s="1"/>
  <c r="I148" i="17" s="1"/>
  <c r="F333" i="17"/>
  <c r="I87" i="17"/>
  <c r="I89" i="17" s="1"/>
  <c r="I98" i="17" s="1"/>
  <c r="J81" i="17"/>
  <c r="J229" i="17"/>
  <c r="J284" i="17"/>
  <c r="J334" i="17"/>
  <c r="J336" i="17" s="1"/>
  <c r="J346" i="17" s="1"/>
  <c r="K86" i="17"/>
  <c r="F97" i="17"/>
  <c r="D235" i="17"/>
  <c r="D237" i="17" s="1"/>
  <c r="D246" i="17" s="1"/>
  <c r="J279" i="17"/>
  <c r="H48" i="17"/>
  <c r="C73" i="17"/>
  <c r="C29" i="6"/>
  <c r="G16" i="26"/>
  <c r="B31" i="6"/>
  <c r="M308" i="17"/>
  <c r="G17" i="26"/>
  <c r="C30" i="6"/>
  <c r="G18" i="26"/>
  <c r="M317" i="17"/>
  <c r="K245" i="17"/>
  <c r="D37" i="17"/>
  <c r="G119" i="17"/>
  <c r="G121" i="17" s="1"/>
  <c r="L220" i="17"/>
  <c r="M221" i="17" s="1"/>
  <c r="L279" i="17"/>
  <c r="G48" i="17"/>
  <c r="H87" i="17"/>
  <c r="H89" i="17" s="1"/>
  <c r="H98" i="17" s="1"/>
  <c r="C119" i="17"/>
  <c r="C196" i="17"/>
  <c r="G196" i="17"/>
  <c r="K196" i="17"/>
  <c r="D279" i="17"/>
  <c r="C328" i="17"/>
  <c r="G328" i="17"/>
  <c r="K328" i="17"/>
  <c r="B38" i="17"/>
  <c r="B40" i="17" s="1"/>
  <c r="F38" i="17"/>
  <c r="F40" i="17" s="1"/>
  <c r="E136" i="17"/>
  <c r="F229" i="17"/>
  <c r="E245" i="17"/>
  <c r="C284" i="17"/>
  <c r="J285" i="17"/>
  <c r="J287" i="17" s="1"/>
  <c r="F334" i="17"/>
  <c r="F336" i="17" s="1"/>
  <c r="F346" i="17" s="1"/>
  <c r="I358" i="17"/>
  <c r="G37" i="17"/>
  <c r="H136" i="17"/>
  <c r="H138" i="17" s="1"/>
  <c r="H148" i="17" s="1"/>
  <c r="H172" i="17"/>
  <c r="F196" i="17"/>
  <c r="D234" i="17"/>
  <c r="E259" i="17"/>
  <c r="F317" i="17"/>
  <c r="F319" i="17" s="1"/>
  <c r="E328" i="17"/>
  <c r="I328" i="17"/>
  <c r="L121" i="17"/>
  <c r="M122" i="17" s="1"/>
  <c r="L119" i="17"/>
  <c r="J328" i="17"/>
  <c r="H336" i="17"/>
  <c r="H346" i="17" s="1"/>
  <c r="F27" i="6"/>
  <c r="B49" i="17"/>
  <c r="F32" i="17"/>
  <c r="C48" i="17"/>
  <c r="K73" i="17"/>
  <c r="K97" i="17"/>
  <c r="K119" i="17"/>
  <c r="E221" i="17"/>
  <c r="F221" i="17"/>
  <c r="D245" i="17"/>
  <c r="C279" i="17"/>
  <c r="G279" i="17"/>
  <c r="E279" i="17"/>
  <c r="D285" i="17"/>
  <c r="D287" i="17" s="1"/>
  <c r="D296" i="17" s="1"/>
  <c r="H285" i="17"/>
  <c r="H287" i="17" s="1"/>
  <c r="H296" i="17" s="1"/>
  <c r="I308" i="17"/>
  <c r="I317" i="17"/>
  <c r="I319" i="17" s="1"/>
  <c r="C28" i="6"/>
  <c r="F328" i="17"/>
  <c r="L23" i="17"/>
  <c r="M24" i="17" s="1"/>
  <c r="I334" i="17"/>
  <c r="B319" i="17"/>
  <c r="C21" i="6"/>
  <c r="L180" i="17"/>
  <c r="L245" i="17"/>
  <c r="L285" i="17"/>
  <c r="L287" i="17" s="1"/>
  <c r="M288" i="17" s="1"/>
  <c r="L333" i="17"/>
  <c r="J38" i="17"/>
  <c r="J40" i="17" s="1"/>
  <c r="J368" i="17" s="1"/>
  <c r="K369" i="17" s="1"/>
  <c r="C32" i="17"/>
  <c r="G32" i="17"/>
  <c r="K32" i="17"/>
  <c r="D48" i="17"/>
  <c r="H73" i="17"/>
  <c r="J31" i="7"/>
  <c r="B87" i="17"/>
  <c r="B89" i="17" s="1"/>
  <c r="B98" i="17" s="1"/>
  <c r="J87" i="17"/>
  <c r="J89" i="17" s="1"/>
  <c r="D119" i="17"/>
  <c r="D121" i="17" s="1"/>
  <c r="H119" i="17"/>
  <c r="H121" i="17" s="1"/>
  <c r="E130" i="17"/>
  <c r="F135" i="17"/>
  <c r="J135" i="17"/>
  <c r="F180" i="17"/>
  <c r="H186" i="17"/>
  <c r="H188" i="17" s="1"/>
  <c r="H197" i="17" s="1"/>
  <c r="J235" i="17"/>
  <c r="E235" i="17"/>
  <c r="E237" i="17" s="1"/>
  <c r="E246" i="17" s="1"/>
  <c r="D295" i="17"/>
  <c r="J307" i="17"/>
  <c r="B29" i="6" s="1"/>
  <c r="L146" i="17"/>
  <c r="L295" i="17"/>
  <c r="J32" i="17"/>
  <c r="F87" i="17"/>
  <c r="F89" i="17" s="1"/>
  <c r="G86" i="17"/>
  <c r="F86" i="17"/>
  <c r="C97" i="17"/>
  <c r="G97" i="17"/>
  <c r="D209" i="17"/>
  <c r="I284" i="17"/>
  <c r="H21" i="17"/>
  <c r="H23" i="17" s="1"/>
  <c r="D21" i="17"/>
  <c r="D23" i="17" s="1"/>
  <c r="J86" i="17"/>
  <c r="E172" i="17"/>
  <c r="F185" i="17"/>
  <c r="J234" i="17"/>
  <c r="I279" i="17"/>
  <c r="C361" i="17"/>
  <c r="D358" i="17"/>
  <c r="I12" i="17"/>
  <c r="C81" i="17"/>
  <c r="G81" i="17"/>
  <c r="K89" i="17"/>
  <c r="C136" i="17"/>
  <c r="C138" i="17" s="1"/>
  <c r="C148" i="17" s="1"/>
  <c r="G136" i="17"/>
  <c r="G138" i="17" s="1"/>
  <c r="G148" i="17" s="1"/>
  <c r="K136" i="17"/>
  <c r="K138" i="17" s="1"/>
  <c r="K148" i="17" s="1"/>
  <c r="C180" i="17"/>
  <c r="D180" i="17"/>
  <c r="C185" i="17"/>
  <c r="H229" i="17"/>
  <c r="H235" i="17"/>
  <c r="H237" i="17" s="1"/>
  <c r="H247" i="17" s="1"/>
  <c r="B334" i="17"/>
  <c r="G358" i="17"/>
  <c r="L185" i="17"/>
  <c r="L186" i="17"/>
  <c r="L188" i="17" s="1"/>
  <c r="M189" i="17" s="1"/>
  <c r="F12" i="17"/>
  <c r="K48" i="17"/>
  <c r="E73" i="17"/>
  <c r="J146" i="17"/>
  <c r="I172" i="17"/>
  <c r="D185" i="17"/>
  <c r="D186" i="17"/>
  <c r="D188" i="17" s="1"/>
  <c r="D197" i="17" s="1"/>
  <c r="J196" i="17"/>
  <c r="H220" i="17"/>
  <c r="H221" i="17" s="1"/>
  <c r="H218" i="17"/>
  <c r="D218" i="17"/>
  <c r="F235" i="17"/>
  <c r="F237" i="17" s="1"/>
  <c r="F247" i="17" s="1"/>
  <c r="E295" i="17"/>
  <c r="I295" i="17"/>
  <c r="L86" i="17"/>
  <c r="C21" i="17"/>
  <c r="C23" i="17" s="1"/>
  <c r="C37" i="17"/>
  <c r="C61" i="17"/>
  <c r="K60" i="17"/>
  <c r="K61" i="17" s="1"/>
  <c r="F73" i="17"/>
  <c r="D87" i="17"/>
  <c r="D89" i="17" s="1"/>
  <c r="D98" i="17" s="1"/>
  <c r="I130" i="17"/>
  <c r="F130" i="17"/>
  <c r="F172" i="17"/>
  <c r="C209" i="17"/>
  <c r="I218" i="17"/>
  <c r="G229" i="17"/>
  <c r="K229" i="17"/>
  <c r="G235" i="17"/>
  <c r="G237" i="17" s="1"/>
  <c r="G247" i="17" s="1"/>
  <c r="F295" i="17"/>
  <c r="J295" i="17"/>
  <c r="H333" i="17"/>
  <c r="C344" i="17"/>
  <c r="G344" i="17"/>
  <c r="G361" i="17"/>
  <c r="L37" i="17"/>
  <c r="L97" i="17"/>
  <c r="L234" i="17"/>
  <c r="H358" i="17"/>
  <c r="L130" i="17"/>
  <c r="L271" i="17"/>
  <c r="H12" i="17"/>
  <c r="H37" i="17"/>
  <c r="B109" i="17"/>
  <c r="C110" i="17" s="1"/>
  <c r="F110" i="17"/>
  <c r="J130" i="17"/>
  <c r="C172" i="17"/>
  <c r="G172" i="17"/>
  <c r="E180" i="17"/>
  <c r="I180" i="17"/>
  <c r="J185" i="17"/>
  <c r="E185" i="17"/>
  <c r="K186" i="17"/>
  <c r="K188" i="17" s="1"/>
  <c r="E186" i="17"/>
  <c r="E188" i="17" s="1"/>
  <c r="E197" i="17" s="1"/>
  <c r="E229" i="17"/>
  <c r="I229" i="17"/>
  <c r="C245" i="17"/>
  <c r="F245" i="17"/>
  <c r="B285" i="17"/>
  <c r="B287" i="17" s="1"/>
  <c r="B296" i="17" s="1"/>
  <c r="F284" i="17"/>
  <c r="H308" i="17"/>
  <c r="C317" i="17"/>
  <c r="C319" i="17" s="1"/>
  <c r="G317" i="17"/>
  <c r="G319" i="17" s="1"/>
  <c r="K317" i="17"/>
  <c r="D328" i="17"/>
  <c r="H328" i="17"/>
  <c r="J344" i="17"/>
  <c r="L73" i="17"/>
  <c r="L135" i="17"/>
  <c r="L172" i="17"/>
  <c r="L196" i="17"/>
  <c r="L235" i="17"/>
  <c r="L237" i="17" s="1"/>
  <c r="M238" i="17" s="1"/>
  <c r="L317" i="17"/>
  <c r="L229" i="17"/>
  <c r="L218" i="17"/>
  <c r="L268" i="17"/>
  <c r="L344" i="17"/>
  <c r="L334" i="17"/>
  <c r="L328" i="17"/>
  <c r="L319" i="17"/>
  <c r="M320" i="17" s="1"/>
  <c r="L81" i="17"/>
  <c r="L110" i="17"/>
  <c r="L359" i="17"/>
  <c r="M360" i="17" s="1"/>
  <c r="L12" i="17"/>
  <c r="L353" i="17"/>
  <c r="M354" i="17" s="1"/>
  <c r="L308" i="17"/>
  <c r="L136" i="17"/>
  <c r="L21" i="17"/>
  <c r="L32" i="17"/>
  <c r="L160" i="17"/>
  <c r="L209" i="17"/>
  <c r="L259" i="17"/>
  <c r="L284" i="17"/>
  <c r="G110" i="17"/>
  <c r="D61" i="17"/>
  <c r="K110" i="17"/>
  <c r="K353" i="17"/>
  <c r="I32" i="17"/>
  <c r="H32" i="17"/>
  <c r="F37" i="17"/>
  <c r="E37" i="17"/>
  <c r="F119" i="17"/>
  <c r="F121" i="17" s="1"/>
  <c r="E119" i="17"/>
  <c r="E121" i="17" s="1"/>
  <c r="J119" i="17"/>
  <c r="J121" i="17" s="1"/>
  <c r="K122" i="17" s="1"/>
  <c r="I119" i="17"/>
  <c r="I121" i="17" s="1"/>
  <c r="G160" i="17"/>
  <c r="K160" i="17"/>
  <c r="C12" i="17"/>
  <c r="K12" i="17"/>
  <c r="E21" i="17"/>
  <c r="E23" i="17" s="1"/>
  <c r="E38" i="17"/>
  <c r="E40" i="17" s="1"/>
  <c r="I61" i="17"/>
  <c r="H61" i="17"/>
  <c r="C87" i="17"/>
  <c r="C89" i="17" s="1"/>
  <c r="G87" i="17"/>
  <c r="G89" i="17" s="1"/>
  <c r="E135" i="17"/>
  <c r="D135" i="17"/>
  <c r="I135" i="17"/>
  <c r="H135" i="17"/>
  <c r="C135" i="17"/>
  <c r="K135" i="17"/>
  <c r="D160" i="17"/>
  <c r="I160" i="17"/>
  <c r="C160" i="17"/>
  <c r="D172" i="17"/>
  <c r="J172" i="17"/>
  <c r="F259" i="17"/>
  <c r="K259" i="17"/>
  <c r="J259" i="17"/>
  <c r="G259" i="17"/>
  <c r="D344" i="17"/>
  <c r="H344" i="17"/>
  <c r="E12" i="17"/>
  <c r="D12" i="17"/>
  <c r="G21" i="17"/>
  <c r="G23" i="17" s="1"/>
  <c r="F21" i="17"/>
  <c r="F23" i="17" s="1"/>
  <c r="K21" i="17"/>
  <c r="J21" i="17"/>
  <c r="J23" i="17" s="1"/>
  <c r="C38" i="17"/>
  <c r="C40" i="17" s="1"/>
  <c r="C41" i="17" s="1"/>
  <c r="G38" i="17"/>
  <c r="G40" i="17" s="1"/>
  <c r="K38" i="17"/>
  <c r="K40" i="17" s="1"/>
  <c r="F48" i="17"/>
  <c r="E48" i="17"/>
  <c r="J48" i="17"/>
  <c r="I48" i="17"/>
  <c r="I73" i="17"/>
  <c r="D73" i="17"/>
  <c r="E81" i="17"/>
  <c r="D81" i="17"/>
  <c r="I81" i="17"/>
  <c r="H81" i="17"/>
  <c r="K81" i="17"/>
  <c r="E86" i="17"/>
  <c r="D86" i="17"/>
  <c r="I86" i="17"/>
  <c r="H86" i="17"/>
  <c r="C86" i="17"/>
  <c r="H110" i="17"/>
  <c r="C121" i="17"/>
  <c r="C122" i="17" s="1"/>
  <c r="D130" i="17"/>
  <c r="C130" i="17"/>
  <c r="H130" i="17"/>
  <c r="G130" i="17"/>
  <c r="K130" i="17"/>
  <c r="D136" i="17"/>
  <c r="D138" i="17" s="1"/>
  <c r="D148" i="17" s="1"/>
  <c r="E146" i="17"/>
  <c r="D146" i="17"/>
  <c r="I146" i="17"/>
  <c r="H146" i="17"/>
  <c r="C146" i="17"/>
  <c r="K146" i="17"/>
  <c r="H160" i="17"/>
  <c r="E196" i="17"/>
  <c r="D196" i="17"/>
  <c r="I196" i="17"/>
  <c r="H196" i="17"/>
  <c r="E209" i="17"/>
  <c r="C218" i="17"/>
  <c r="B220" i="17"/>
  <c r="B246" i="17" s="1"/>
  <c r="G218" i="17"/>
  <c r="F218" i="17"/>
  <c r="K218" i="17"/>
  <c r="J218" i="17"/>
  <c r="J220" i="17"/>
  <c r="C334" i="17"/>
  <c r="C333" i="17"/>
  <c r="G334" i="17"/>
  <c r="G333" i="17"/>
  <c r="K334" i="17"/>
  <c r="F30" i="6" s="1"/>
  <c r="K333" i="17"/>
  <c r="E32" i="17"/>
  <c r="D32" i="17"/>
  <c r="J37" i="17"/>
  <c r="I37" i="17"/>
  <c r="G61" i="17"/>
  <c r="D110" i="17"/>
  <c r="J12" i="17"/>
  <c r="G12" i="17"/>
  <c r="I21" i="17"/>
  <c r="I23" i="17" s="1"/>
  <c r="D38" i="17"/>
  <c r="D40" i="17" s="1"/>
  <c r="H38" i="17"/>
  <c r="H40" i="17" s="1"/>
  <c r="I38" i="17"/>
  <c r="I40" i="17" s="1"/>
  <c r="F61" i="17"/>
  <c r="J61" i="17"/>
  <c r="E61" i="17"/>
  <c r="E97" i="17"/>
  <c r="D97" i="17"/>
  <c r="I97" i="17"/>
  <c r="H97" i="17"/>
  <c r="E110" i="17"/>
  <c r="I110" i="17"/>
  <c r="J110" i="17"/>
  <c r="B136" i="17"/>
  <c r="B138" i="17" s="1"/>
  <c r="B148" i="17" s="1"/>
  <c r="F136" i="17"/>
  <c r="F138" i="17" s="1"/>
  <c r="J136" i="17"/>
  <c r="J138" i="17" s="1"/>
  <c r="G135" i="17"/>
  <c r="J160" i="17"/>
  <c r="F160" i="17"/>
  <c r="E317" i="17"/>
  <c r="E319" i="17" s="1"/>
  <c r="D317" i="17"/>
  <c r="D319" i="17" s="1"/>
  <c r="H317" i="17"/>
  <c r="H319" i="17" s="1"/>
  <c r="G221" i="17"/>
  <c r="K284" i="17"/>
  <c r="K285" i="17"/>
  <c r="K287" i="17" s="1"/>
  <c r="C285" i="17"/>
  <c r="C287" i="17" s="1"/>
  <c r="D333" i="17"/>
  <c r="F344" i="17"/>
  <c r="E344" i="17"/>
  <c r="E160" i="17"/>
  <c r="K172" i="17"/>
  <c r="B186" i="17"/>
  <c r="B188" i="17" s="1"/>
  <c r="B197" i="17" s="1"/>
  <c r="F186" i="17"/>
  <c r="F188" i="17" s="1"/>
  <c r="K185" i="17"/>
  <c r="I186" i="17"/>
  <c r="I188" i="17" s="1"/>
  <c r="I209" i="17"/>
  <c r="H209" i="17"/>
  <c r="D221" i="17"/>
  <c r="I235" i="17"/>
  <c r="I237" i="17" s="1"/>
  <c r="I234" i="17"/>
  <c r="E234" i="17"/>
  <c r="K235" i="17"/>
  <c r="K237" i="17" s="1"/>
  <c r="J245" i="17"/>
  <c r="G245" i="17"/>
  <c r="C259" i="17"/>
  <c r="F279" i="17"/>
  <c r="D284" i="17"/>
  <c r="F308" i="17"/>
  <c r="C308" i="17"/>
  <c r="D308" i="17"/>
  <c r="D334" i="17"/>
  <c r="F361" i="17"/>
  <c r="F358" i="17"/>
  <c r="J361" i="17"/>
  <c r="J358" i="17"/>
  <c r="F209" i="17"/>
  <c r="J209" i="17"/>
  <c r="G209" i="17"/>
  <c r="H259" i="17"/>
  <c r="G284" i="17"/>
  <c r="G285" i="17"/>
  <c r="G287" i="17" s="1"/>
  <c r="G186" i="17"/>
  <c r="G188" i="17" s="1"/>
  <c r="H180" i="17"/>
  <c r="G180" i="17"/>
  <c r="K180" i="17"/>
  <c r="C186" i="17"/>
  <c r="C188" i="17" s="1"/>
  <c r="I185" i="17"/>
  <c r="H185" i="17"/>
  <c r="K209" i="17"/>
  <c r="E218" i="17"/>
  <c r="C229" i="17"/>
  <c r="D229" i="17"/>
  <c r="F234" i="17"/>
  <c r="I259" i="17"/>
  <c r="D259" i="17"/>
  <c r="J270" i="17"/>
  <c r="K268" i="17"/>
  <c r="H284" i="17"/>
  <c r="G308" i="17"/>
  <c r="E308" i="17"/>
  <c r="I344" i="17"/>
  <c r="C234" i="17"/>
  <c r="G234" i="17"/>
  <c r="K234" i="17"/>
  <c r="H234" i="17"/>
  <c r="C235" i="17"/>
  <c r="C237" i="17" s="1"/>
  <c r="H245" i="17"/>
  <c r="E285" i="17"/>
  <c r="E287" i="17" s="1"/>
  <c r="I285" i="17"/>
  <c r="I287" i="17" s="1"/>
  <c r="E284" i="17"/>
  <c r="F285" i="17"/>
  <c r="F287" i="17" s="1"/>
  <c r="C295" i="17"/>
  <c r="G295" i="17"/>
  <c r="K295" i="17"/>
  <c r="H295" i="17"/>
  <c r="J317" i="17"/>
  <c r="J319" i="17" s="1"/>
  <c r="E333" i="17"/>
  <c r="I333" i="17"/>
  <c r="J333" i="17"/>
  <c r="E334" i="17"/>
  <c r="E358" i="17"/>
  <c r="E247" i="17"/>
  <c r="I245" i="17"/>
  <c r="K279" i="17"/>
  <c r="H279" i="17"/>
  <c r="K344" i="17"/>
  <c r="J237" i="17" l="1"/>
  <c r="P235" i="17"/>
  <c r="J188" i="17"/>
  <c r="P186" i="17"/>
  <c r="J221" i="17"/>
  <c r="P220" i="17"/>
  <c r="C189" i="17"/>
  <c r="K90" i="17"/>
  <c r="E138" i="17"/>
  <c r="E139" i="17" s="1"/>
  <c r="F29" i="6"/>
  <c r="I288" i="17"/>
  <c r="L138" i="17"/>
  <c r="M139" i="17" s="1"/>
  <c r="H139" i="17"/>
  <c r="J90" i="17"/>
  <c r="J98" i="17"/>
  <c r="G41" i="17"/>
  <c r="F246" i="17"/>
  <c r="L221" i="17"/>
  <c r="J139" i="17"/>
  <c r="I139" i="17"/>
  <c r="F90" i="17"/>
  <c r="E288" i="17"/>
  <c r="C288" i="17"/>
  <c r="I90" i="17"/>
  <c r="E90" i="17"/>
  <c r="L296" i="17"/>
  <c r="F25" i="6"/>
  <c r="D247" i="17"/>
  <c r="C320" i="17"/>
  <c r="J246" i="17"/>
  <c r="F345" i="17"/>
  <c r="G49" i="17"/>
  <c r="G189" i="17"/>
  <c r="D41" i="17"/>
  <c r="E238" i="17"/>
  <c r="I221" i="17"/>
  <c r="L336" i="17"/>
  <c r="M337" i="17" s="1"/>
  <c r="F31" i="6"/>
  <c r="J308" i="17"/>
  <c r="I34" i="7"/>
  <c r="K288" i="17"/>
  <c r="G122" i="17"/>
  <c r="J296" i="17"/>
  <c r="H288" i="17"/>
  <c r="F98" i="17"/>
  <c r="G90" i="17"/>
  <c r="F320" i="17"/>
  <c r="C90" i="17"/>
  <c r="E122" i="17"/>
  <c r="K147" i="17"/>
  <c r="G320" i="17"/>
  <c r="F238" i="17"/>
  <c r="L355" i="17"/>
  <c r="M356" i="17" s="1"/>
  <c r="K34" i="7"/>
  <c r="L238" i="17"/>
  <c r="L24" i="17"/>
  <c r="L122" i="17"/>
  <c r="L288" i="17"/>
  <c r="L247" i="17"/>
  <c r="C49" i="17"/>
  <c r="C24" i="17"/>
  <c r="E336" i="17"/>
  <c r="E345" i="17" s="1"/>
  <c r="F24" i="6"/>
  <c r="I336" i="17"/>
  <c r="I345" i="17" s="1"/>
  <c r="F28" i="6"/>
  <c r="I189" i="17"/>
  <c r="I41" i="17"/>
  <c r="K336" i="17"/>
  <c r="K346" i="17" s="1"/>
  <c r="C336" i="17"/>
  <c r="F22" i="6"/>
  <c r="K271" i="17"/>
  <c r="L246" i="17"/>
  <c r="H246" i="17"/>
  <c r="B336" i="17"/>
  <c r="F21" i="6"/>
  <c r="I296" i="17"/>
  <c r="G296" i="17"/>
  <c r="L40" i="17"/>
  <c r="M41" i="17" s="1"/>
  <c r="K308" i="17"/>
  <c r="G336" i="17"/>
  <c r="G337" i="17" s="1"/>
  <c r="F26" i="6"/>
  <c r="L61" i="17"/>
  <c r="H31" i="6"/>
  <c r="F189" i="17"/>
  <c r="D336" i="17"/>
  <c r="D345" i="17" s="1"/>
  <c r="F23" i="6"/>
  <c r="F148" i="17"/>
  <c r="L90" i="17"/>
  <c r="K296" i="17"/>
  <c r="H30" i="6"/>
  <c r="K189" i="17"/>
  <c r="I122" i="17"/>
  <c r="I147" i="17"/>
  <c r="D24" i="17"/>
  <c r="D49" i="17"/>
  <c r="L189" i="17"/>
  <c r="F288" i="17"/>
  <c r="F147" i="17"/>
  <c r="L197" i="17"/>
  <c r="E296" i="17"/>
  <c r="C296" i="17"/>
  <c r="H238" i="17"/>
  <c r="J41" i="17"/>
  <c r="K197" i="17"/>
  <c r="L98" i="17"/>
  <c r="I238" i="17"/>
  <c r="D288" i="17"/>
  <c r="F197" i="17"/>
  <c r="G98" i="17"/>
  <c r="H24" i="17"/>
  <c r="G238" i="17"/>
  <c r="L320" i="17"/>
  <c r="E189" i="17"/>
  <c r="K98" i="17"/>
  <c r="G246" i="17"/>
  <c r="L354" i="17"/>
  <c r="L360" i="17"/>
  <c r="J320" i="17"/>
  <c r="J345" i="17"/>
  <c r="D320" i="17"/>
  <c r="I24" i="17"/>
  <c r="I49" i="17"/>
  <c r="E49" i="17"/>
  <c r="E24" i="17"/>
  <c r="C247" i="17"/>
  <c r="C238" i="17"/>
  <c r="K238" i="17"/>
  <c r="K247" i="17"/>
  <c r="H320" i="17"/>
  <c r="H345" i="17"/>
  <c r="J24" i="17"/>
  <c r="K354" i="17"/>
  <c r="K221" i="17"/>
  <c r="G288" i="17"/>
  <c r="H122" i="17"/>
  <c r="H147" i="17"/>
  <c r="J147" i="17"/>
  <c r="E41" i="17"/>
  <c r="F41" i="17"/>
  <c r="G197" i="17"/>
  <c r="I320" i="17"/>
  <c r="G147" i="17"/>
  <c r="I247" i="17"/>
  <c r="J238" i="17"/>
  <c r="C221" i="17"/>
  <c r="H189" i="17"/>
  <c r="I246" i="17"/>
  <c r="E320" i="17"/>
  <c r="D147" i="17"/>
  <c r="D122" i="17"/>
  <c r="D90" i="17"/>
  <c r="H41" i="17"/>
  <c r="H49" i="17"/>
  <c r="J189" i="17"/>
  <c r="F296" i="17"/>
  <c r="H90" i="17"/>
  <c r="K24" i="17"/>
  <c r="C197" i="17"/>
  <c r="G139" i="17"/>
  <c r="C139" i="17"/>
  <c r="K368" i="17"/>
  <c r="L369" i="17" s="1"/>
  <c r="K41" i="17"/>
  <c r="J49" i="17"/>
  <c r="K320" i="17"/>
  <c r="K355" i="17"/>
  <c r="K356" i="17" s="1"/>
  <c r="D189" i="17"/>
  <c r="D238" i="17"/>
  <c r="I197" i="17"/>
  <c r="D139" i="17"/>
  <c r="F122" i="17"/>
  <c r="K139" i="17"/>
  <c r="C246" i="17"/>
  <c r="B147" i="17"/>
  <c r="C98" i="17"/>
  <c r="K246" i="17"/>
  <c r="F24" i="17"/>
  <c r="F49" i="17"/>
  <c r="G24" i="17"/>
  <c r="J148" i="17"/>
  <c r="J122" i="17"/>
  <c r="K49" i="17"/>
  <c r="J288" i="17"/>
  <c r="C147" i="17"/>
  <c r="J197" i="17" l="1"/>
  <c r="P188" i="17"/>
  <c r="J247" i="17"/>
  <c r="P237" i="17"/>
  <c r="L368" i="17"/>
  <c r="N369" i="17" s="1"/>
  <c r="L148" i="17"/>
  <c r="L147" i="17"/>
  <c r="L139" i="17"/>
  <c r="F139" i="17"/>
  <c r="E148" i="17"/>
  <c r="E147" i="17"/>
  <c r="L41" i="17"/>
  <c r="C337" i="17"/>
  <c r="E346" i="17"/>
  <c r="F337" i="17"/>
  <c r="E337" i="17"/>
  <c r="C345" i="17"/>
  <c r="C346" i="17"/>
  <c r="M369" i="17"/>
  <c r="L350" i="17"/>
  <c r="L345" i="17"/>
  <c r="L346" i="17"/>
  <c r="L357" i="17"/>
  <c r="M358" i="17" s="1"/>
  <c r="D337" i="17"/>
  <c r="L49" i="17"/>
  <c r="I31" i="6"/>
  <c r="L31" i="6" s="1"/>
  <c r="K345" i="17"/>
  <c r="H337" i="17"/>
  <c r="G345" i="17"/>
  <c r="D346" i="17"/>
  <c r="K337" i="17"/>
  <c r="B346" i="17"/>
  <c r="B345" i="17"/>
  <c r="J337" i="17"/>
  <c r="I337" i="17"/>
  <c r="I346" i="17"/>
  <c r="K350" i="17"/>
  <c r="K351" i="17" s="1"/>
  <c r="G346" i="17"/>
  <c r="L337" i="17"/>
  <c r="I30" i="6"/>
  <c r="L30" i="6" s="1"/>
  <c r="J30" i="6"/>
  <c r="K357" i="17"/>
  <c r="L356" i="17"/>
  <c r="L361" i="17" l="1"/>
  <c r="L363" i="17"/>
  <c r="M364" i="17" s="1"/>
  <c r="L365" i="17"/>
  <c r="L366" i="17" s="1"/>
  <c r="L351" i="17"/>
  <c r="K365" i="17"/>
  <c r="L358" i="17"/>
  <c r="K358" i="17"/>
  <c r="K363" i="17"/>
  <c r="K364" i="17" s="1"/>
  <c r="K361" i="17"/>
  <c r="K366" i="17" l="1"/>
  <c r="L364" i="17"/>
  <c r="N25" i="12"/>
  <c r="N24" i="12"/>
  <c r="N26" i="12"/>
  <c r="I26" i="12"/>
  <c r="C26" i="12" l="1"/>
  <c r="E26" i="12"/>
  <c r="F26" i="12" l="1"/>
  <c r="J26" i="12"/>
  <c r="K26" i="12" s="1"/>
  <c r="O26" i="12" s="1"/>
  <c r="I25" i="12" l="1"/>
  <c r="E25" i="12"/>
  <c r="F25" i="12" s="1"/>
  <c r="K25" i="12" l="1"/>
  <c r="O25" i="12" s="1"/>
  <c r="E3" i="29"/>
  <c r="D9" i="29" l="1"/>
  <c r="K24" i="12"/>
  <c r="O24" i="12" s="1"/>
  <c r="F24" i="12"/>
  <c r="I24" i="12"/>
  <c r="N23" i="12"/>
  <c r="J23" i="12"/>
  <c r="K23" i="12" s="1"/>
  <c r="O23" i="12" s="1"/>
  <c r="I23" i="12"/>
  <c r="F23" i="12"/>
  <c r="B17" i="15"/>
  <c r="J28" i="7"/>
  <c r="N20" i="12"/>
  <c r="J27" i="7"/>
  <c r="N22" i="12"/>
  <c r="I22" i="12"/>
  <c r="J26" i="7"/>
  <c r="F22" i="12"/>
  <c r="J22" i="12"/>
  <c r="K22" i="12" s="1"/>
  <c r="O22" i="12" s="1"/>
  <c r="K21" i="12"/>
  <c r="O21" i="12" s="1"/>
  <c r="K20" i="12"/>
  <c r="O20" i="12" s="1"/>
  <c r="F21" i="12"/>
  <c r="I21" i="12"/>
  <c r="K22" i="7"/>
  <c r="K21" i="7"/>
  <c r="K20" i="7"/>
  <c r="K19" i="7"/>
  <c r="K18" i="7"/>
  <c r="K17" i="7"/>
  <c r="K16" i="7"/>
  <c r="K15" i="7"/>
  <c r="K14" i="7"/>
  <c r="K13" i="7"/>
  <c r="K12" i="7"/>
  <c r="K11" i="7"/>
  <c r="K10" i="7"/>
  <c r="K9" i="7"/>
  <c r="K8" i="7"/>
  <c r="K7" i="7"/>
  <c r="K6" i="7"/>
  <c r="K5" i="7"/>
  <c r="K4" i="7"/>
  <c r="H20" i="6"/>
  <c r="J20" i="6" s="1"/>
  <c r="H19" i="6"/>
  <c r="J19" i="6" s="1"/>
  <c r="H18" i="6"/>
  <c r="J18" i="6" s="1"/>
  <c r="H17" i="6"/>
  <c r="I17" i="6" s="1"/>
  <c r="L17" i="6" s="1"/>
  <c r="H16" i="6"/>
  <c r="I16" i="6" s="1"/>
  <c r="L16" i="6" s="1"/>
  <c r="H15" i="6"/>
  <c r="J15" i="6" s="1"/>
  <c r="H14" i="6"/>
  <c r="J14" i="6" s="1"/>
  <c r="H13" i="6"/>
  <c r="J13" i="6" s="1"/>
  <c r="H12" i="6"/>
  <c r="J12" i="6" s="1"/>
  <c r="H11" i="6"/>
  <c r="J11" i="6" s="1"/>
  <c r="H10" i="6"/>
  <c r="J10" i="6" s="1"/>
  <c r="H9" i="6"/>
  <c r="I9" i="6" s="1"/>
  <c r="L9" i="6" s="1"/>
  <c r="H8" i="6"/>
  <c r="I8" i="6" s="1"/>
  <c r="L8" i="6" s="1"/>
  <c r="H7" i="6"/>
  <c r="H6" i="6"/>
  <c r="J6" i="6" s="1"/>
  <c r="H5" i="6"/>
  <c r="I5" i="6" s="1"/>
  <c r="L5" i="6" s="1"/>
  <c r="H4" i="6"/>
  <c r="J4" i="6" s="1"/>
  <c r="H3" i="6"/>
  <c r="J3" i="6" s="1"/>
  <c r="F19" i="12"/>
  <c r="F18" i="12"/>
  <c r="F17" i="12"/>
  <c r="F16" i="12"/>
  <c r="F15" i="12"/>
  <c r="F14" i="12"/>
  <c r="F13" i="12"/>
  <c r="F12" i="12"/>
  <c r="F11" i="12"/>
  <c r="F10" i="12"/>
  <c r="F9" i="12"/>
  <c r="F8" i="12"/>
  <c r="F7" i="12"/>
  <c r="F20" i="12"/>
  <c r="N21" i="12"/>
  <c r="I20" i="12"/>
  <c r="K19" i="12"/>
  <c r="K16" i="12"/>
  <c r="K15" i="12"/>
  <c r="K14" i="12"/>
  <c r="K13" i="12"/>
  <c r="I19" i="12"/>
  <c r="I18" i="12"/>
  <c r="I17" i="12"/>
  <c r="I16" i="12"/>
  <c r="I15" i="12"/>
  <c r="K18" i="12"/>
  <c r="J22" i="7"/>
  <c r="D9" i="3"/>
  <c r="J4" i="7"/>
  <c r="J5" i="7"/>
  <c r="J6" i="7"/>
  <c r="J7" i="7"/>
  <c r="J8" i="7"/>
  <c r="J9" i="7"/>
  <c r="J10" i="7"/>
  <c r="J11" i="7"/>
  <c r="J12" i="7"/>
  <c r="J13" i="7"/>
  <c r="J14" i="7"/>
  <c r="J15" i="7"/>
  <c r="I16" i="7"/>
  <c r="J16" i="7"/>
  <c r="J17" i="7"/>
  <c r="J18" i="7"/>
  <c r="J19" i="7"/>
  <c r="J20" i="7"/>
  <c r="J21" i="7"/>
  <c r="J25" i="7"/>
  <c r="J24" i="7"/>
  <c r="J23" i="7"/>
  <c r="K17" i="12"/>
  <c r="D11" i="3" l="1"/>
  <c r="D12" i="3" s="1"/>
  <c r="C8" i="35"/>
  <c r="I20" i="6"/>
  <c r="L20" i="6" s="1"/>
  <c r="D23" i="29"/>
  <c r="I12" i="6"/>
  <c r="L12" i="6" s="1"/>
  <c r="J9" i="6"/>
  <c r="K10" i="6" s="1"/>
  <c r="J5" i="6"/>
  <c r="K6" i="6" s="1"/>
  <c r="I15" i="6"/>
  <c r="L15" i="6" s="1"/>
  <c r="I11" i="6"/>
  <c r="L11" i="6" s="1"/>
  <c r="I10" i="6"/>
  <c r="L10" i="6" s="1"/>
  <c r="J8" i="6"/>
  <c r="I3" i="6"/>
  <c r="L3" i="6" s="1"/>
  <c r="H22" i="6"/>
  <c r="H24" i="6"/>
  <c r="H26" i="6"/>
  <c r="H23" i="6"/>
  <c r="H21" i="6"/>
  <c r="I18" i="6"/>
  <c r="L18" i="6" s="1"/>
  <c r="K20" i="6"/>
  <c r="H25" i="6"/>
  <c r="I4" i="6"/>
  <c r="L4" i="6" s="1"/>
  <c r="H27" i="6"/>
  <c r="H28" i="6"/>
  <c r="I13" i="6"/>
  <c r="L13" i="6" s="1"/>
  <c r="K11" i="6"/>
  <c r="K14" i="6"/>
  <c r="K4" i="6"/>
  <c r="K15" i="6"/>
  <c r="I19" i="6"/>
  <c r="L19" i="6" s="1"/>
  <c r="K12" i="6"/>
  <c r="I6" i="6"/>
  <c r="L6" i="6" s="1"/>
  <c r="I14" i="6"/>
  <c r="L14" i="6" s="1"/>
  <c r="J16" i="6"/>
  <c r="K16" i="6" s="1"/>
  <c r="J17" i="6"/>
  <c r="K18" i="6" s="1"/>
  <c r="K19" i="6"/>
  <c r="K13" i="6"/>
  <c r="J7" i="6"/>
  <c r="I7" i="6"/>
  <c r="L7" i="6" s="1"/>
  <c r="D15" i="3" l="1"/>
  <c r="D16" i="3" s="1"/>
  <c r="D17" i="3" s="1"/>
  <c r="C10" i="35"/>
  <c r="D8" i="35"/>
  <c r="D17" i="35" s="1"/>
  <c r="K9" i="6"/>
  <c r="K5" i="6"/>
  <c r="J27" i="6"/>
  <c r="J25" i="6"/>
  <c r="I28" i="6"/>
  <c r="L28" i="6" s="1"/>
  <c r="D8" i="29"/>
  <c r="C8" i="29" s="1"/>
  <c r="C16" i="15"/>
  <c r="B7" i="15" s="1"/>
  <c r="B5" i="15"/>
  <c r="K17" i="6"/>
  <c r="E23" i="29"/>
  <c r="C23" i="29"/>
  <c r="F11" i="3"/>
  <c r="F12" i="3" s="1"/>
  <c r="F17" i="3" s="1"/>
  <c r="H29" i="6"/>
  <c r="K8" i="6"/>
  <c r="K7" i="6"/>
  <c r="C16" i="35" l="1"/>
  <c r="D16" i="35" s="1"/>
  <c r="D18" i="35" s="1"/>
  <c r="D10" i="35"/>
  <c r="C12" i="35"/>
  <c r="D22" i="3"/>
  <c r="D23" i="3" s="1"/>
  <c r="I26" i="6"/>
  <c r="L26" i="6" s="1"/>
  <c r="J26" i="6"/>
  <c r="K26" i="6" s="1"/>
  <c r="I24" i="6"/>
  <c r="L24" i="6" s="1"/>
  <c r="J24" i="6"/>
  <c r="J28" i="6"/>
  <c r="K28" i="6" s="1"/>
  <c r="I27" i="6"/>
  <c r="L27" i="6" s="1"/>
  <c r="J23" i="6"/>
  <c r="I23" i="6"/>
  <c r="L23" i="6" s="1"/>
  <c r="I25" i="6"/>
  <c r="L25" i="6" s="1"/>
  <c r="I21" i="6"/>
  <c r="L21" i="6" s="1"/>
  <c r="J21" i="6"/>
  <c r="I22" i="6"/>
  <c r="L22" i="6" s="1"/>
  <c r="J22" i="6"/>
  <c r="E8" i="29"/>
  <c r="I29" i="6"/>
  <c r="L29" i="6" s="1"/>
  <c r="B8" i="15"/>
  <c r="B6" i="15"/>
  <c r="B10" i="15"/>
  <c r="B9" i="15"/>
  <c r="E9" i="29"/>
  <c r="C9" i="29"/>
  <c r="C10" i="29" s="1"/>
  <c r="C16" i="29" s="1"/>
  <c r="D10" i="29"/>
  <c r="D16" i="29" s="1"/>
  <c r="J29" i="6"/>
  <c r="K30" i="6" s="1"/>
  <c r="C18" i="35" l="1"/>
  <c r="C20" i="35" s="1"/>
  <c r="C26" i="35"/>
  <c r="C28" i="35"/>
  <c r="D30" i="3"/>
  <c r="D31" i="3" s="1"/>
  <c r="D12" i="35"/>
  <c r="D20" i="35" s="1"/>
  <c r="D26" i="35" s="1"/>
  <c r="D28" i="35" s="1"/>
  <c r="E28" i="3"/>
  <c r="E10" i="29"/>
  <c r="E16" i="29" s="1"/>
  <c r="K23" i="6"/>
  <c r="K27" i="6"/>
  <c r="K29" i="6"/>
  <c r="K22" i="6"/>
  <c r="K21" i="6"/>
  <c r="K24" i="6"/>
  <c r="K25" i="6"/>
  <c r="D6" i="29"/>
  <c r="C7" i="15"/>
  <c r="J31" i="6"/>
  <c r="K32" i="6" s="1"/>
  <c r="C9" i="15"/>
  <c r="C8" i="15"/>
  <c r="C6" i="15"/>
  <c r="C5" i="15"/>
  <c r="C10" i="15"/>
  <c r="D24" i="29" l="1"/>
  <c r="C24" i="29" s="1"/>
  <c r="C25" i="29" s="1"/>
  <c r="K31" i="6"/>
  <c r="D5" i="15"/>
  <c r="E5" i="15" s="1"/>
  <c r="D6" i="15"/>
  <c r="E6" i="15" s="1"/>
  <c r="D9" i="15"/>
  <c r="E9" i="15" s="1"/>
  <c r="D10" i="15"/>
  <c r="E10" i="15" s="1"/>
  <c r="D8" i="15"/>
  <c r="E8" i="15" s="1"/>
  <c r="D7" i="15"/>
  <c r="E7" i="15" s="1"/>
  <c r="D12" i="15"/>
  <c r="D15" i="29"/>
  <c r="D18" i="29" s="1"/>
  <c r="C6" i="29"/>
  <c r="E6" i="29"/>
  <c r="D12" i="29"/>
  <c r="E24" i="29" l="1"/>
  <c r="E25" i="29" s="1"/>
  <c r="D25" i="29"/>
  <c r="C15" i="29"/>
  <c r="C18" i="29" s="1"/>
  <c r="C12" i="29"/>
  <c r="E15" i="29"/>
  <c r="E18" i="29" s="1"/>
  <c r="E12" i="29"/>
  <c r="D20" i="29"/>
  <c r="D26" i="29" l="1"/>
  <c r="D28" i="29" s="1"/>
  <c r="E30" i="3"/>
  <c r="E31" i="3" s="1"/>
  <c r="E26" i="3"/>
  <c r="C20" i="29"/>
  <c r="C26" i="29" s="1"/>
  <c r="E20" i="29"/>
  <c r="E26" i="29" s="1"/>
  <c r="E28" i="29" s="1"/>
  <c r="D31" i="29" l="1"/>
  <c r="C31" i="29"/>
  <c r="C28" i="29"/>
  <c r="A12" i="15"/>
  <c r="B12" i="15"/>
  <c r="C12" i="15" s="1"/>
  <c r="E12" i="15" s="1"/>
</calcChain>
</file>

<file path=xl/sharedStrings.xml><?xml version="1.0" encoding="utf-8"?>
<sst xmlns="http://schemas.openxmlformats.org/spreadsheetml/2006/main" count="926" uniqueCount="416">
  <si>
    <t>Year</t>
  </si>
  <si>
    <t>Domestic Cranberry Production Estimate</t>
  </si>
  <si>
    <t>MA</t>
  </si>
  <si>
    <t>NJ</t>
  </si>
  <si>
    <t xml:space="preserve">             MA Average</t>
  </si>
  <si>
    <t xml:space="preserve">   Darlington</t>
  </si>
  <si>
    <t xml:space="preserve">              NJ Average</t>
  </si>
  <si>
    <t>WI</t>
  </si>
  <si>
    <t xml:space="preserve">   Potter</t>
  </si>
  <si>
    <t xml:space="preserve">              WI Average</t>
  </si>
  <si>
    <t>OR</t>
  </si>
  <si>
    <t xml:space="preserve">             OR Average</t>
  </si>
  <si>
    <t>WA</t>
  </si>
  <si>
    <t xml:space="preserve">             WA Average</t>
  </si>
  <si>
    <t>CMC Feb Estimate</t>
  </si>
  <si>
    <t>Production &amp; Acquired</t>
  </si>
  <si>
    <t>Estimated Foreign Acquired</t>
  </si>
  <si>
    <t>Available Supply (1+4)</t>
  </si>
  <si>
    <t>Estimated Shrinkage</t>
  </si>
  <si>
    <t>Adjusted Supply (5-8)</t>
  </si>
  <si>
    <t xml:space="preserve"> </t>
  </si>
  <si>
    <t>Sales &amp; Usage</t>
  </si>
  <si>
    <t>Total Sales/Usage (10+11)</t>
  </si>
  <si>
    <t>1,000 Barrels</t>
  </si>
  <si>
    <t>Domestic Production</t>
  </si>
  <si>
    <t>Foreign Acquired</t>
  </si>
  <si>
    <t>Total Sales</t>
  </si>
  <si>
    <t>Total Available Supply</t>
  </si>
  <si>
    <t>Fresh Domestic Sales</t>
  </si>
  <si>
    <t>Fresh Export Sales</t>
  </si>
  <si>
    <t>Processed Domestic Sales</t>
  </si>
  <si>
    <t>Processed Export Sales</t>
  </si>
  <si>
    <t>Total Fresh Sales</t>
  </si>
  <si>
    <t>Total Processed Sales</t>
  </si>
  <si>
    <t>Sales</t>
  </si>
  <si>
    <t xml:space="preserve">   Harju</t>
  </si>
  <si>
    <t xml:space="preserve">   Amundson</t>
  </si>
  <si>
    <t>Estimated Domestic Production</t>
  </si>
  <si>
    <t>Total Production &amp; Acquistions (2+3)</t>
  </si>
  <si>
    <t>Estimated Shrinkage (6+7)</t>
  </si>
  <si>
    <t>Fresh Fruit Sales</t>
  </si>
  <si>
    <t>Processing Fruit Usage</t>
  </si>
  <si>
    <t>Industry Inventory Est.(Pipeline) Needs</t>
  </si>
  <si>
    <t xml:space="preserve">   Van Wychen</t>
  </si>
  <si>
    <t xml:space="preserve">   Rezendes</t>
  </si>
  <si>
    <t>Production (Barrels)</t>
  </si>
  <si>
    <t>Registered Acres</t>
  </si>
  <si>
    <t>Yield</t>
  </si>
  <si>
    <t>Producing Acres</t>
  </si>
  <si>
    <t>Total Acres</t>
  </si>
  <si>
    <t>Quebec</t>
  </si>
  <si>
    <t>British Columbia</t>
  </si>
  <si>
    <t>Chile</t>
  </si>
  <si>
    <t xml:space="preserve">   Rogers</t>
  </si>
  <si>
    <t xml:space="preserve">   Mauck</t>
  </si>
  <si>
    <t>Interhandler Transfers</t>
  </si>
  <si>
    <t xml:space="preserve">Total Sales </t>
  </si>
  <si>
    <t>Shrinkage</t>
  </si>
  <si>
    <t>Carryout Inventory</t>
  </si>
  <si>
    <t>Est Adjusted Carryout as of 08/31/12</t>
  </si>
  <si>
    <t>Q1-1st Cycle</t>
  </si>
  <si>
    <t>BEGINNING INVENTORY</t>
  </si>
  <si>
    <t>Barrels in Freezers</t>
  </si>
  <si>
    <t>Barrels in Processed Form</t>
  </si>
  <si>
    <t>Barrels in Concentrate</t>
  </si>
  <si>
    <t>Sub-Total</t>
  </si>
  <si>
    <t>Adj from prev report:</t>
  </si>
  <si>
    <t>Barrels On Hand</t>
  </si>
  <si>
    <t>ACQUISITIONS</t>
  </si>
  <si>
    <t>Massachusetts</t>
  </si>
  <si>
    <t>New Jersey</t>
  </si>
  <si>
    <t>Oregon</t>
  </si>
  <si>
    <t>Washington</t>
  </si>
  <si>
    <t>Wisconsin</t>
  </si>
  <si>
    <t>Other States</t>
  </si>
  <si>
    <t>U.S. Acquired</t>
  </si>
  <si>
    <t>Foreign Barrels Acquired</t>
  </si>
  <si>
    <t>Total Barrels Acquired</t>
  </si>
  <si>
    <t>SALES &amp; SHRINKAGE</t>
  </si>
  <si>
    <t>Sold to the Government</t>
  </si>
  <si>
    <t>Total Domestic Sales</t>
  </si>
  <si>
    <t>Foreign Sales-Fresh</t>
  </si>
  <si>
    <t>Foreign Sales-Processed</t>
  </si>
  <si>
    <t>Total Foreign Sales</t>
  </si>
  <si>
    <t>Total Sales &amp; Shrinkage</t>
  </si>
  <si>
    <t>ENDING INVENTORY</t>
  </si>
  <si>
    <t>Barrels In Inventory</t>
  </si>
  <si>
    <t>Check #</t>
  </si>
  <si>
    <t>Q2-2nd Cycle</t>
  </si>
  <si>
    <t>Year To Date: (Q1.Q2)</t>
  </si>
  <si>
    <t>Total Barrels On Hand</t>
  </si>
  <si>
    <t>Barrels Acq to date</t>
  </si>
  <si>
    <t>Q3: 3rd Cycle</t>
  </si>
  <si>
    <t>Year To Date: (Q1.Q2.Q3)</t>
  </si>
  <si>
    <t>Q4: 4th Cycle</t>
  </si>
  <si>
    <t>Final Year to Date</t>
  </si>
  <si>
    <t>Crop Years</t>
  </si>
  <si>
    <t>Ending Inventory</t>
  </si>
  <si>
    <t>Carry-in</t>
  </si>
  <si>
    <t>Production/Acq</t>
  </si>
  <si>
    <t>Total Supply</t>
  </si>
  <si>
    <t>Supply</t>
  </si>
  <si>
    <t>Utilization</t>
  </si>
  <si>
    <t>% of Supply Utilized</t>
  </si>
  <si>
    <t>Q1 Sales</t>
  </si>
  <si>
    <t>Pipeline Needs</t>
  </si>
  <si>
    <t xml:space="preserve">   Nemitz</t>
  </si>
  <si>
    <t xml:space="preserve">   Hatton</t>
  </si>
  <si>
    <t>barrels</t>
  </si>
  <si>
    <t>4% Estimated Production/Acquisitions (4)</t>
  </si>
  <si>
    <t xml:space="preserve"> CY' 2012</t>
  </si>
  <si>
    <t>CY' 2011</t>
  </si>
  <si>
    <t>CY' 2010</t>
  </si>
  <si>
    <t>CY '2009</t>
  </si>
  <si>
    <t>CY' 2008</t>
  </si>
  <si>
    <t>CY '2007</t>
  </si>
  <si>
    <t>CY '2006</t>
  </si>
  <si>
    <t>9/1-12/31/12</t>
  </si>
  <si>
    <t>9/1-12/31/11</t>
  </si>
  <si>
    <t>9/1-12/31/10</t>
  </si>
  <si>
    <t>9/1-12/31/09</t>
  </si>
  <si>
    <t>9/1-12/31/08</t>
  </si>
  <si>
    <t>9/1-12/31/07</t>
  </si>
  <si>
    <t>9/1-12/31/06</t>
  </si>
  <si>
    <t>CY '2012</t>
  </si>
  <si>
    <t>CY '2011</t>
  </si>
  <si>
    <t>CY ' 2010</t>
  </si>
  <si>
    <t>CY '2008</t>
  </si>
  <si>
    <t>CY ' 2007</t>
  </si>
  <si>
    <t>CY ' 2006</t>
  </si>
  <si>
    <t>1/1-4/30/13</t>
  </si>
  <si>
    <t>1/1-4/30/12</t>
  </si>
  <si>
    <t>1/1-4/30/11</t>
  </si>
  <si>
    <t>1/1-4/30/10</t>
  </si>
  <si>
    <t>1/1-4/30/09</t>
  </si>
  <si>
    <t>1/1-4/30/08</t>
  </si>
  <si>
    <t>1/1-4/30/07</t>
  </si>
  <si>
    <t>CY '2010</t>
  </si>
  <si>
    <t>9/1/12-4/30/13</t>
  </si>
  <si>
    <t>9/1/12-4/30/12</t>
  </si>
  <si>
    <t>9/1/10-4/30/11</t>
  </si>
  <si>
    <t>9/1/09-4/30/10</t>
  </si>
  <si>
    <t>9/1/08-4/30/09</t>
  </si>
  <si>
    <t>9/1/07-4/30/08</t>
  </si>
  <si>
    <t>9/1/06-4/30/07</t>
  </si>
  <si>
    <t>5/1-6/30/13</t>
  </si>
  <si>
    <t>5/1-7/31/12</t>
  </si>
  <si>
    <t>5/1-7/31/11</t>
  </si>
  <si>
    <t>5/1-7/31/10</t>
  </si>
  <si>
    <t>5/1-7/31/09</t>
  </si>
  <si>
    <t>5/1-7/31/08</t>
  </si>
  <si>
    <t>5/1-7/31/07</t>
  </si>
  <si>
    <t>9/1/12-6/30/13</t>
  </si>
  <si>
    <t>9/1/11-7/31/12</t>
  </si>
  <si>
    <t>9/1/10-7/31/11</t>
  </si>
  <si>
    <t>9/1/09-7/31/10</t>
  </si>
  <si>
    <t>9/1/08-7/31/09</t>
  </si>
  <si>
    <t>9/1/07-7/31/08</t>
  </si>
  <si>
    <t>9/1/06-7/31/07</t>
  </si>
  <si>
    <t>8/1-8/31/12</t>
  </si>
  <si>
    <t>8/1-8/31/11</t>
  </si>
  <si>
    <t>8/1-8/31/10</t>
  </si>
  <si>
    <t>8/1-8/31/09</t>
  </si>
  <si>
    <t>8/1-8/31/08</t>
  </si>
  <si>
    <t>8/1-8/31/07</t>
  </si>
  <si>
    <t>9/1/12-8/31/13</t>
  </si>
  <si>
    <t>9/1/11-8/31/12</t>
  </si>
  <si>
    <t>9/1/10-8/31/11</t>
  </si>
  <si>
    <t>9/1/09-8/31/10</t>
  </si>
  <si>
    <t>9/1/08-8/31/09</t>
  </si>
  <si>
    <t>9/1/07-8/31/08</t>
  </si>
  <si>
    <t>9/1/06-8/31/07</t>
  </si>
  <si>
    <t xml:space="preserve"> CY' 2013</t>
  </si>
  <si>
    <t>9/1-12/31/13</t>
  </si>
  <si>
    <t>Marketable Quantity and Allotment Percentage</t>
  </si>
  <si>
    <t>=</t>
  </si>
  <si>
    <t>Allotment Percentage</t>
  </si>
  <si>
    <t>Total Available Supply*</t>
  </si>
  <si>
    <t>No Allotment</t>
  </si>
  <si>
    <t>* Adjusted for Shrink</t>
  </si>
  <si>
    <t>Impacts of Various Allotments - February 2014</t>
  </si>
  <si>
    <t xml:space="preserve"> at February 2014 CMC meeting</t>
  </si>
  <si>
    <t>§929.14   Marketable quantity means for a crop year the number of barrels of cranberries necessary to meet the total market demand and to provide for an adequate carryover.</t>
  </si>
  <si>
    <t>Where this number comes from:</t>
  </si>
  <si>
    <t xml:space="preserve">* If review of the Estimated Adjusted Carryover by Committee members indicates that projected available supply would exceed an optimal marketable quantity, the Committee may consider identification of a Marketable Quantity that would be set through the application of a volume regulation tool.  </t>
  </si>
  <si>
    <t>Est. Production/Marketable Quantity</t>
  </si>
  <si>
    <t xml:space="preserve">*  2014 Crop is estimated at </t>
  </si>
  <si>
    <t>* Sales History (Sales history+ramp up) =</t>
  </si>
  <si>
    <t>% Change</t>
  </si>
  <si>
    <t>Inventory as a % of sales</t>
  </si>
  <si>
    <t>Estimated Carry-In as of 09/01/15</t>
  </si>
  <si>
    <t>CY'2014</t>
  </si>
  <si>
    <t>9/1-12/31/14</t>
  </si>
  <si>
    <t>CY '2014</t>
  </si>
  <si>
    <t>CY '2013</t>
  </si>
  <si>
    <t>1/1-4/30/15</t>
  </si>
  <si>
    <t>1/1-4/30/14</t>
  </si>
  <si>
    <t>9/1/14-4/30/15</t>
  </si>
  <si>
    <t>9/1/13-4/30/14</t>
  </si>
  <si>
    <t>5/1-6/30/15</t>
  </si>
  <si>
    <t>5/1-6/30/14</t>
  </si>
  <si>
    <t>9/1/14-6/30/15</t>
  </si>
  <si>
    <t>9/1/13-6/30/14</t>
  </si>
  <si>
    <t>7/1-8/31/15</t>
  </si>
  <si>
    <t>7/1-8/31/14</t>
  </si>
  <si>
    <t>7/1-8/31/13</t>
  </si>
  <si>
    <t>9/1/14-8/31/15</t>
  </si>
  <si>
    <t>9/1/13-8/31/14</t>
  </si>
  <si>
    <t>CY'2013</t>
  </si>
  <si>
    <t>% of Total Sales/Shrink</t>
  </si>
  <si>
    <t>% of Total Sales</t>
  </si>
  <si>
    <t>% of Total Supply</t>
  </si>
  <si>
    <t>% Change from most recent CY</t>
  </si>
  <si>
    <t xml:space="preserve">Total production calculated as sum of estimated domestic production and estimated foreign acquired </t>
  </si>
  <si>
    <t>2% of Carry-in (1)</t>
  </si>
  <si>
    <t>Estimated Production calculated as 4% of total production &amp; acquisitions</t>
  </si>
  <si>
    <t>Calculated as 2% of estimated Carry-In</t>
  </si>
  <si>
    <t>Available Supply calculated as sum of total production &amp; acquisitions and estimated Carry-In</t>
  </si>
  <si>
    <t>Calculated as estimated shrinkage deducted from available supply</t>
  </si>
  <si>
    <t>Total Sales/Usage is sum of fresh fruit sales and processing fruit usage</t>
  </si>
  <si>
    <t>Estimated Adjusted Carry-over is calculated as total Sales/usage deducted from adjusted supply</t>
  </si>
  <si>
    <t>Estimated Adjusted Carry-over 08/31/2016</t>
  </si>
  <si>
    <t xml:space="preserve">Estimated Shrinkage calculated as sum of estimated Carry-In shrinkage &amp; estimated total production &amp; acquisitions </t>
  </si>
  <si>
    <t xml:space="preserve">   Gerber</t>
  </si>
  <si>
    <t>% change</t>
  </si>
  <si>
    <t xml:space="preserve">  </t>
  </si>
  <si>
    <t xml:space="preserve">Total Canada </t>
  </si>
  <si>
    <t>February Committee Forecast</t>
  </si>
  <si>
    <t xml:space="preserve"> Production</t>
  </si>
  <si>
    <t>Total Non US</t>
  </si>
  <si>
    <t xml:space="preserve">Atlantic Canada* </t>
  </si>
  <si>
    <t>* Atlantic Canada includes NB, NS, PEI, NL</t>
  </si>
  <si>
    <t xml:space="preserve">   Bartling</t>
  </si>
  <si>
    <t>U.S.</t>
  </si>
  <si>
    <t>CMC</t>
  </si>
  <si>
    <t>Handler Withholding Calculator</t>
  </si>
  <si>
    <t>Free %</t>
  </si>
  <si>
    <t>Restricted %</t>
  </si>
  <si>
    <t>Estimated carry-in from Marketing Policy</t>
  </si>
  <si>
    <t>Estimated production from committee members production estimates with HW % Applied</t>
  </si>
  <si>
    <t>Estimated Foreign acquired from committee member estimates (Marketing Policy)</t>
  </si>
  <si>
    <t>Fresh Fruit Sales from Committee member estimates (Marketing Policy)</t>
  </si>
  <si>
    <t>Processing Fruit Usage from Committee member estimates (Marketing Policy)</t>
  </si>
  <si>
    <t>CY'2015</t>
  </si>
  <si>
    <t>9/1-12/31/15</t>
  </si>
  <si>
    <t>CMC Feb Est. LESS 500,000 bbls</t>
  </si>
  <si>
    <t>CMC Feb Est. PLUS 500,000 bbls</t>
  </si>
  <si>
    <t xml:space="preserve">   Mollor</t>
  </si>
  <si>
    <t xml:space="preserve">   Lee</t>
  </si>
  <si>
    <t>CY '2015</t>
  </si>
  <si>
    <t>1/1-4/30/16</t>
  </si>
  <si>
    <t>9/1/15-4/30/16</t>
  </si>
  <si>
    <t>5/1-6/30/16</t>
  </si>
  <si>
    <t>9/1/15-6/30/16</t>
  </si>
  <si>
    <t>9/1/15-8/31/16</t>
  </si>
  <si>
    <t>7/1-8/31/16</t>
  </si>
  <si>
    <t>CY'2016</t>
  </si>
  <si>
    <t>9/1-12/31/16</t>
  </si>
  <si>
    <t>1/1-4/30/17</t>
  </si>
  <si>
    <t>9/1/16-4/30/17</t>
  </si>
  <si>
    <t>5/1-6/30/17</t>
  </si>
  <si>
    <t>9/1/16-6/30/17</t>
  </si>
  <si>
    <t>7/1-8/31/17</t>
  </si>
  <si>
    <t>9/1/16-8/31/17</t>
  </si>
  <si>
    <t>Barrels Unfrozen</t>
  </si>
  <si>
    <t>Est 2016</t>
  </si>
  <si>
    <t xml:space="preserve">   Gates-Allen</t>
  </si>
  <si>
    <t xml:space="preserve">   Poinsett</t>
  </si>
  <si>
    <t>(9/01/2017 - 8/31/2018)</t>
  </si>
  <si>
    <t>Barrels (000's)</t>
  </si>
  <si>
    <t>Marketable Quantity</t>
  </si>
  <si>
    <t>Equals Market Demand (Projected Sales plus Adequate Carry Over)</t>
  </si>
  <si>
    <t>Production required to hit Marketable Quantity (Est. Production minus Difference in Carry Over)</t>
  </si>
  <si>
    <t>Calculated by Staff - Sales history for growers with six or more years of Sales history is established by computing an average of the highest four of the most recent six years of Sale, plus Ramp Up.</t>
  </si>
  <si>
    <t>Production needed divided by SH + RU</t>
  </si>
  <si>
    <t>All data pulled from the Marketing Policy Spreadsheet</t>
  </si>
  <si>
    <t xml:space="preserve">Estimated Carry-In </t>
  </si>
  <si>
    <t xml:space="preserve">Sales History + Ramp Up </t>
  </si>
  <si>
    <t>CY'2017</t>
  </si>
  <si>
    <t>9/1-12/31/17</t>
  </si>
  <si>
    <t>1/1-4/30/18</t>
  </si>
  <si>
    <t>5/1-6/30/18</t>
  </si>
  <si>
    <t>7/1-8/31/18</t>
  </si>
  <si>
    <t>9/1/17-4/30/18</t>
  </si>
  <si>
    <t>9/1/17-6/30/18</t>
  </si>
  <si>
    <t>9/1/17-8/31/18</t>
  </si>
  <si>
    <t>CY'2018</t>
  </si>
  <si>
    <t>9/1-12/31/18</t>
  </si>
  <si>
    <t>1/1-4/30/19</t>
  </si>
  <si>
    <t>5/1-6/30/19</t>
  </si>
  <si>
    <t>7/1-8/31/19</t>
  </si>
  <si>
    <t>9/1/18-8/31/19</t>
  </si>
  <si>
    <t>2019 Crop Year Domestic Production Estimate</t>
  </si>
  <si>
    <t>YTD 2018</t>
  </si>
  <si>
    <t>2018 Est.</t>
  </si>
  <si>
    <t>*2018 Sales are estimated</t>
  </si>
  <si>
    <t>2019 Crop Year Cranberry Marketing Policy</t>
  </si>
  <si>
    <t>CMC Feb 2019 Estimate</t>
  </si>
  <si>
    <t xml:space="preserve">   Gardner</t>
  </si>
  <si>
    <t xml:space="preserve">   Rifleman</t>
  </si>
  <si>
    <t xml:space="preserve">   N. Puhl</t>
  </si>
  <si>
    <t xml:space="preserve">   R.  Puhl</t>
  </si>
  <si>
    <t>Total Sales and Usage</t>
  </si>
  <si>
    <t>Line 12</t>
  </si>
  <si>
    <t>Plus</t>
  </si>
  <si>
    <t>Adequate Carry over</t>
  </si>
  <si>
    <t>Line 13</t>
  </si>
  <si>
    <t>Line 12 + Line 13</t>
  </si>
  <si>
    <t>929.14 "Marketable Quantity means for a crop year the number of pounds of cranberries necessary to meet the total market demand and to provide for an adequate carryover"</t>
  </si>
  <si>
    <t>Carry In for 2019</t>
  </si>
  <si>
    <t>Estimated Domestic Production 2019</t>
  </si>
  <si>
    <t>Estimated Foreign Acquired 2019</t>
  </si>
  <si>
    <t>Available Supply for 2019</t>
  </si>
  <si>
    <t>Total Sales and Usage for 2019</t>
  </si>
  <si>
    <t>2019 Production needed to meet MQ</t>
  </si>
  <si>
    <t>Data February 2019</t>
  </si>
  <si>
    <t>Estimated Carry-Over from 2019</t>
  </si>
  <si>
    <t>Adequate Carry-Over</t>
  </si>
  <si>
    <t>Difference in Carry-Over</t>
  </si>
  <si>
    <t xml:space="preserve">Estimated Adjusted Carry-Over </t>
  </si>
  <si>
    <t>Committee Estimates Change in Foreign Aquired</t>
  </si>
  <si>
    <t>Committee Confirms Shrinkage Numbers</t>
  </si>
  <si>
    <t>Committee Estimates Change in Fresh Fruit Sales</t>
  </si>
  <si>
    <t>Committee Estimates Change in Processing Fruit Usage</t>
  </si>
  <si>
    <t>Total Production &amp; Acquistions</t>
  </si>
  <si>
    <t>Available Supply</t>
  </si>
  <si>
    <t>2% of Carry-in</t>
  </si>
  <si>
    <t>4% Estimated Production/Acquisitions</t>
  </si>
  <si>
    <t>Adjusted Supply</t>
  </si>
  <si>
    <t>Total Sales/Usage</t>
  </si>
  <si>
    <t>Committee Decides Adequate Carry-Over</t>
  </si>
  <si>
    <t>9/1/18-4/30/19</t>
  </si>
  <si>
    <t>9/1/18-6/30/19</t>
  </si>
  <si>
    <t xml:space="preserve">   Stein</t>
  </si>
  <si>
    <t xml:space="preserve">2019 Crop Year Cranberry Marketing Policy Worksheet </t>
  </si>
  <si>
    <t>Producers</t>
  </si>
  <si>
    <t>CMC Actual Reported and Projected Domestic and Foreign Sales (in barrels)</t>
  </si>
  <si>
    <t>CMC Total Available Supply and Total Sales (in barrels)</t>
  </si>
  <si>
    <t>Difference Available Supply and Sales</t>
  </si>
  <si>
    <t>Carry-in Inventories</t>
  </si>
  <si>
    <t>Carry-out Inventory</t>
  </si>
  <si>
    <t>Estimated Carry-In, Supply, Sales/Usage &amp; Carryout Inventory (9/01/2019 - 8/31/2020)</t>
  </si>
  <si>
    <t>2018 (reference)</t>
  </si>
  <si>
    <t>®</t>
  </si>
  <si>
    <t>From Committee estimates</t>
  </si>
  <si>
    <t>Total Sales/Usage deducted from Adjusted Supply</t>
  </si>
  <si>
    <t>Sum of Fresh Fruit Sales and Processing Fruit Usage</t>
  </si>
  <si>
    <t>Estimated Shrinkage deducted from Available Supply</t>
  </si>
  <si>
    <t xml:space="preserve">Sum of Estimated Carry-in Shrinkage and Estimated Total Production &amp; Acquisitions </t>
  </si>
  <si>
    <t>2% of Estimated Carry-In</t>
  </si>
  <si>
    <t>Sum of Total Production &amp; Acquisitions and Estimated Carry-in</t>
  </si>
  <si>
    <t xml:space="preserve">Sum of Estimated Domestic Production and Estimated Foreign Acquired </t>
  </si>
  <si>
    <t>From 'Total Available Supply and Sales', may be adjusted based on Committee input</t>
  </si>
  <si>
    <t>4% of Total Production &amp; Acquisitions</t>
  </si>
  <si>
    <t>Committee Determines</t>
  </si>
  <si>
    <t>Domestic Sales - Fresh</t>
  </si>
  <si>
    <r>
      <t xml:space="preserve">Domestic Sales - Processed </t>
    </r>
    <r>
      <rPr>
        <b/>
        <sz val="10"/>
        <color rgb="FFFF0000"/>
        <rFont val="Calibri"/>
        <family val="2"/>
      </rPr>
      <t>* (2018)</t>
    </r>
  </si>
  <si>
    <r>
      <t xml:space="preserve">Domestic Sales-Processed </t>
    </r>
    <r>
      <rPr>
        <b/>
        <sz val="10"/>
        <color rgb="FFFF0000"/>
        <rFont val="Calibri"/>
        <family val="2"/>
      </rPr>
      <t>*(2018)</t>
    </r>
  </si>
  <si>
    <r>
      <t xml:space="preserve">Domestic Sales-Concentrate </t>
    </r>
    <r>
      <rPr>
        <b/>
        <sz val="10"/>
        <color rgb="FFFF0000"/>
        <rFont val="Calibri"/>
        <family val="2"/>
      </rPr>
      <t>*(2018)</t>
    </r>
  </si>
  <si>
    <r>
      <t>Domestic Sales-Concentrate</t>
    </r>
    <r>
      <rPr>
        <b/>
        <sz val="10"/>
        <color rgb="FFFF0000"/>
        <rFont val="Calibri"/>
        <family val="2"/>
      </rPr>
      <t>* (2018)</t>
    </r>
  </si>
  <si>
    <t>August Committee Estimate</t>
  </si>
  <si>
    <t>2019 EST</t>
  </si>
  <si>
    <t>The 2019 acreage numbers are copied from 2018</t>
  </si>
  <si>
    <t>* 2018 Sales, Shrinkage, Interhandler Transfers, Foreign Acquistions, and Carryout Inventory are estimated by adding data from 2018 1st, 2nd and 3rd cycle to data from 2017 4th cycle reports.</t>
  </si>
  <si>
    <t>Note: Sales are estimated by adding the current 1st, 2nd, 3rd cycle sales and 4th cycle sales from the previous year</t>
  </si>
  <si>
    <t>Concentrate Domestic Sales</t>
  </si>
  <si>
    <t>CMC Aug 2019 Estimate</t>
  </si>
  <si>
    <t>Foreign Sales-Concentrate</t>
  </si>
  <si>
    <t>Concentrate Export Sales</t>
  </si>
  <si>
    <t>Total Concentrate Sales</t>
  </si>
  <si>
    <t xml:space="preserve">2019 Est. </t>
  </si>
  <si>
    <t>Updated 7/23/2019</t>
  </si>
  <si>
    <t>Government Sales</t>
  </si>
  <si>
    <t>17-18 diff</t>
  </si>
  <si>
    <t>diff 18 to avg 14-16</t>
  </si>
  <si>
    <t>2020 Crop Year</t>
  </si>
  <si>
    <t>Exempt Production</t>
  </si>
  <si>
    <t>No Exemptions</t>
  </si>
  <si>
    <t>With Exemptions</t>
  </si>
  <si>
    <t>Committee Crop Estimate</t>
  </si>
  <si>
    <t>Committee estimate for 2020 crop</t>
  </si>
  <si>
    <t>Portion of Crop Estimate Exempted</t>
  </si>
  <si>
    <t>CMC information</t>
  </si>
  <si>
    <t>Production That will be Restricted</t>
  </si>
  <si>
    <t>Total Sales History and Ramp Up</t>
  </si>
  <si>
    <t>Regulated portion of SH + RU</t>
  </si>
  <si>
    <t>Allotment at Free % indicated below</t>
  </si>
  <si>
    <t>Line 4 times Free%</t>
  </si>
  <si>
    <t>Exceptions plus Free fruit</t>
  </si>
  <si>
    <t>Volume estimated to removed by PA</t>
  </si>
  <si>
    <t>Line 1 minus Line 6</t>
  </si>
  <si>
    <t>Restriction Percentage</t>
  </si>
  <si>
    <t>Free Percentage</t>
  </si>
  <si>
    <t>1000 Barrels</t>
  </si>
  <si>
    <t>Total Sales Histories</t>
  </si>
  <si>
    <t>Estimated Ramp-Up</t>
  </si>
  <si>
    <t>Total Sales History + Ramp-Up</t>
  </si>
  <si>
    <t>2020 fruit entering the market (Free Fruit)</t>
  </si>
  <si>
    <t>Producer Allotment Impact</t>
  </si>
  <si>
    <t>Inventory as a % of utilization</t>
  </si>
  <si>
    <t>% Change from 2018</t>
  </si>
  <si>
    <t xml:space="preserve"> ** Government sales are not included in Total Processed  Sales or Total Concentrate Sales as this volume can be distributed over both categories</t>
  </si>
  <si>
    <t>CMC Aug Estimate</t>
  </si>
  <si>
    <t>2019 Crop</t>
  </si>
  <si>
    <t>Estimated Adjusted Carry-over</t>
  </si>
  <si>
    <t>HW</t>
  </si>
  <si>
    <t xml:space="preserve"> *</t>
  </si>
  <si>
    <t>Handler Withhold Shrinkage</t>
  </si>
  <si>
    <t>1000 bbls.</t>
  </si>
  <si>
    <t>Withholding</t>
  </si>
  <si>
    <r>
      <rPr>
        <b/>
        <i/>
        <sz val="11"/>
        <rFont val="Arial"/>
        <family val="2"/>
      </rPr>
      <t>Note</t>
    </r>
    <r>
      <rPr>
        <i/>
        <sz val="11"/>
        <rFont val="Arial"/>
        <family val="2"/>
      </rPr>
      <t>: NASS did not report an acreage total for Washington. The estimate from 2017 was carried over to 2018</t>
    </r>
  </si>
  <si>
    <r>
      <rPr>
        <b/>
        <i/>
        <sz val="11"/>
        <rFont val="Arial"/>
        <family val="2"/>
      </rPr>
      <t>Note:</t>
    </r>
    <r>
      <rPr>
        <i/>
        <sz val="11"/>
        <rFont val="Arial"/>
        <family val="2"/>
      </rPr>
      <t xml:space="preserve"> The 2018 yield is based on the acreage from 2018 and reported production</t>
    </r>
  </si>
  <si>
    <t xml:space="preserve">   Viano/Other</t>
  </si>
  <si>
    <t>Carry-out Inventory % of Total Utilization</t>
  </si>
  <si>
    <t>**2017 and 2018 volume regulations were implimented</t>
  </si>
  <si>
    <t>Utilization is total sales + shrink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</si>
</sst>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409]mmmm\ d\,\ yyyy;@"/>
    <numFmt numFmtId="167" formatCode="[$-409]mmmm\-yy;@"/>
  </numFmts>
  <fonts count="91" x14ac:knownFonts="1">
    <font>
      <sz val="10"/>
      <name val="Arial"/>
    </font>
    <font>
      <b/>
      <sz val="10"/>
      <name val="Times New Roman"/>
      <family val="1"/>
    </font>
    <font>
      <sz val="10"/>
      <name val="Times New Roman"/>
      <family val="1"/>
    </font>
    <font>
      <b/>
      <sz val="12"/>
      <name val="Times New Roman"/>
      <family val="1"/>
    </font>
    <font>
      <b/>
      <sz val="10"/>
      <name val="Arial"/>
      <family val="2"/>
    </font>
    <font>
      <sz val="8"/>
      <name val="Arial"/>
      <family val="2"/>
    </font>
    <font>
      <sz val="10"/>
      <name val="Arial"/>
      <family val="2"/>
    </font>
    <font>
      <sz val="10"/>
      <name val="Arial"/>
      <family val="2"/>
    </font>
    <font>
      <b/>
      <i/>
      <sz val="10"/>
      <name val="Arial"/>
      <family val="2"/>
    </font>
    <font>
      <sz val="10"/>
      <name val="Arial"/>
      <family val="2"/>
    </font>
    <font>
      <sz val="11"/>
      <name val="Arial"/>
      <family val="2"/>
    </font>
    <font>
      <sz val="10"/>
      <name val="Calibri"/>
      <family val="2"/>
    </font>
    <font>
      <b/>
      <sz val="10"/>
      <name val="Calibri"/>
      <family val="2"/>
    </font>
    <font>
      <b/>
      <u/>
      <sz val="10"/>
      <name val="Calibri"/>
      <family val="2"/>
    </font>
    <font>
      <i/>
      <sz val="10"/>
      <name val="Calibri"/>
      <family val="2"/>
    </font>
    <font>
      <b/>
      <sz val="10"/>
      <color indexed="48"/>
      <name val="Calibri"/>
      <family val="2"/>
    </font>
    <font>
      <sz val="10"/>
      <color indexed="48"/>
      <name val="Calibri"/>
      <family val="2"/>
    </font>
    <font>
      <sz val="10"/>
      <color indexed="10"/>
      <name val="Calibri"/>
      <family val="2"/>
    </font>
    <font>
      <b/>
      <sz val="10"/>
      <color indexed="10"/>
      <name val="Calibri"/>
      <family val="2"/>
    </font>
    <font>
      <b/>
      <u/>
      <sz val="10"/>
      <color indexed="10"/>
      <name val="Calibri"/>
      <family val="2"/>
    </font>
    <font>
      <sz val="10"/>
      <color indexed="9"/>
      <name val="Calibri"/>
      <family val="2"/>
    </font>
    <font>
      <b/>
      <sz val="10"/>
      <color indexed="9"/>
      <name val="Calibri"/>
      <family val="2"/>
    </font>
    <font>
      <b/>
      <sz val="14"/>
      <name val="Times New Roman"/>
      <family val="1"/>
    </font>
    <font>
      <sz val="14"/>
      <name val="Arial"/>
      <family val="2"/>
    </font>
    <font>
      <sz val="14"/>
      <name val="Times New Roman"/>
      <family val="1"/>
    </font>
    <font>
      <b/>
      <sz val="16"/>
      <name val="Times New Roman"/>
      <family val="1"/>
    </font>
    <font>
      <sz val="16"/>
      <name val="Arial"/>
      <family val="2"/>
    </font>
    <font>
      <sz val="20"/>
      <name val="Arial"/>
      <family val="2"/>
    </font>
    <font>
      <b/>
      <sz val="20"/>
      <name val="Arial"/>
      <family val="2"/>
    </font>
    <font>
      <b/>
      <sz val="22"/>
      <name val="Times New Roman"/>
      <family val="1"/>
    </font>
    <font>
      <b/>
      <sz val="24"/>
      <name val="Times New Roman"/>
      <family val="1"/>
    </font>
    <font>
      <sz val="24"/>
      <name val="Arial"/>
      <family val="2"/>
    </font>
    <font>
      <b/>
      <sz val="24"/>
      <name val="Arial"/>
      <family val="2"/>
    </font>
    <font>
      <sz val="24"/>
      <name val="Times New Roman"/>
      <family val="1"/>
    </font>
    <font>
      <b/>
      <i/>
      <u/>
      <sz val="14"/>
      <name val="Times New Roman"/>
      <family val="1"/>
    </font>
    <font>
      <i/>
      <sz val="14"/>
      <name val="Times New Roman"/>
      <family val="1"/>
    </font>
    <font>
      <b/>
      <i/>
      <sz val="14"/>
      <name val="Times New Roman"/>
      <family val="1"/>
    </font>
    <font>
      <sz val="11"/>
      <color theme="1"/>
      <name val="Calibri"/>
      <family val="2"/>
      <scheme val="minor"/>
    </font>
    <font>
      <b/>
      <sz val="12"/>
      <color theme="1"/>
      <name val="Times New Roman"/>
      <family val="1"/>
    </font>
    <font>
      <b/>
      <i/>
      <sz val="11"/>
      <color theme="1"/>
      <name val="Times New Roman"/>
      <family val="1"/>
    </font>
    <font>
      <b/>
      <sz val="11"/>
      <color theme="1"/>
      <name val="Times New Roman"/>
      <family val="1"/>
    </font>
    <font>
      <b/>
      <sz val="10"/>
      <color theme="1"/>
      <name val="Times New Roman"/>
      <family val="1"/>
    </font>
    <font>
      <b/>
      <i/>
      <sz val="12"/>
      <color theme="1"/>
      <name val="Times New Roman"/>
      <family val="1"/>
    </font>
    <font>
      <b/>
      <i/>
      <sz val="11"/>
      <color theme="1"/>
      <name val="Calibri"/>
      <family val="2"/>
      <scheme val="minor"/>
    </font>
    <font>
      <b/>
      <sz val="14"/>
      <color theme="1"/>
      <name val="Times New Roman"/>
      <family val="1"/>
    </font>
    <font>
      <b/>
      <i/>
      <sz val="14"/>
      <color theme="1"/>
      <name val="Times New Roman"/>
      <family val="1"/>
    </font>
    <font>
      <sz val="12"/>
      <name val="Times New Roman"/>
      <family val="1"/>
    </font>
    <font>
      <b/>
      <sz val="14"/>
      <color rgb="FFFF0000"/>
      <name val="Times New Roman"/>
      <family val="1"/>
    </font>
    <font>
      <sz val="10"/>
      <name val="Calibri"/>
      <family val="2"/>
      <scheme val="minor"/>
    </font>
    <font>
      <i/>
      <sz val="10"/>
      <name val="Calibri"/>
      <family val="2"/>
      <scheme val="minor"/>
    </font>
    <font>
      <sz val="10"/>
      <name val="Arial"/>
      <family val="2"/>
    </font>
    <font>
      <b/>
      <sz val="10"/>
      <name val="Calibri"/>
      <family val="2"/>
      <scheme val="minor"/>
    </font>
    <font>
      <b/>
      <u/>
      <sz val="10"/>
      <name val="Calibri"/>
      <family val="2"/>
      <scheme val="minor"/>
    </font>
    <font>
      <b/>
      <i/>
      <sz val="10"/>
      <name val="Calibri"/>
      <family val="2"/>
      <scheme val="minor"/>
    </font>
    <font>
      <sz val="10"/>
      <color indexed="48"/>
      <name val="Calibri"/>
      <family val="2"/>
      <scheme val="minor"/>
    </font>
    <font>
      <sz val="10"/>
      <name val="Cambria"/>
      <family val="1"/>
      <scheme val="major"/>
    </font>
    <font>
      <sz val="9"/>
      <color rgb="FF000000"/>
      <name val="Tahoma"/>
      <family val="2"/>
    </font>
    <font>
      <sz val="16"/>
      <name val="Times New Roman"/>
      <family val="1"/>
    </font>
    <font>
      <b/>
      <i/>
      <sz val="11"/>
      <name val="Times New Roman"/>
      <family val="1"/>
    </font>
    <font>
      <i/>
      <sz val="11"/>
      <color theme="1"/>
      <name val="Times New Roman"/>
      <family val="1"/>
    </font>
    <font>
      <b/>
      <i/>
      <sz val="11"/>
      <color rgb="FFFF0000"/>
      <name val="Times New Roman"/>
      <family val="1"/>
    </font>
    <font>
      <b/>
      <sz val="11"/>
      <name val="Arial"/>
      <family val="2"/>
    </font>
    <font>
      <i/>
      <sz val="11"/>
      <name val="Arial"/>
      <family val="2"/>
    </font>
    <font>
      <b/>
      <i/>
      <sz val="11"/>
      <name val="Arial"/>
      <family val="2"/>
    </font>
    <font>
      <sz val="11"/>
      <name val="Times New Roman"/>
      <family val="1"/>
    </font>
    <font>
      <b/>
      <sz val="12"/>
      <name val="Arial"/>
      <family val="2"/>
    </font>
    <font>
      <sz val="12"/>
      <name val="Arial"/>
      <family val="2"/>
    </font>
    <font>
      <b/>
      <i/>
      <sz val="12"/>
      <name val="Arial"/>
      <family val="2"/>
    </font>
    <font>
      <b/>
      <sz val="14"/>
      <name val="Arial"/>
      <family val="2"/>
    </font>
    <font>
      <b/>
      <i/>
      <sz val="11"/>
      <color theme="1"/>
      <name val="Arial"/>
      <family val="2"/>
    </font>
    <font>
      <i/>
      <sz val="14"/>
      <name val="Arial"/>
      <family val="2"/>
    </font>
    <font>
      <b/>
      <sz val="13"/>
      <name val="Times New Roman"/>
      <family val="1"/>
    </font>
    <font>
      <sz val="13"/>
      <name val="Arial"/>
      <family val="2"/>
    </font>
    <font>
      <i/>
      <sz val="13"/>
      <name val="Times New Roman"/>
      <family val="1"/>
    </font>
    <font>
      <sz val="14"/>
      <name val="Symbol"/>
      <family val="1"/>
      <charset val="2"/>
    </font>
    <font>
      <b/>
      <i/>
      <sz val="14"/>
      <color theme="1"/>
      <name val="Arial"/>
      <family val="2"/>
    </font>
    <font>
      <i/>
      <sz val="14"/>
      <color theme="1"/>
      <name val="Arial"/>
      <family val="2"/>
    </font>
    <font>
      <b/>
      <sz val="11"/>
      <color theme="1"/>
      <name val="Arial"/>
      <family val="2"/>
    </font>
    <font>
      <sz val="11"/>
      <color theme="1"/>
      <name val="Arial"/>
      <family val="2"/>
    </font>
    <font>
      <i/>
      <sz val="11"/>
      <color theme="1"/>
      <name val="Arial"/>
      <family val="2"/>
    </font>
    <font>
      <sz val="11"/>
      <color theme="1"/>
      <name val="Times New Roman"/>
      <family val="1"/>
    </font>
    <font>
      <i/>
      <sz val="11"/>
      <color rgb="FF000000"/>
      <name val="Arial"/>
      <family val="2"/>
    </font>
    <font>
      <b/>
      <i/>
      <sz val="11"/>
      <color rgb="FF000000"/>
      <name val="Arial"/>
      <family val="2"/>
    </font>
    <font>
      <b/>
      <sz val="11"/>
      <color rgb="FFFF0000"/>
      <name val="Arial"/>
      <family val="2"/>
    </font>
    <font>
      <b/>
      <sz val="10"/>
      <color rgb="FFFF0000"/>
      <name val="Calibri"/>
      <family val="2"/>
    </font>
    <font>
      <b/>
      <sz val="18"/>
      <name val="Times New Roman"/>
      <family val="1"/>
    </font>
    <font>
      <b/>
      <i/>
      <sz val="18"/>
      <color rgb="FFFF0000"/>
      <name val="Times New Roman"/>
      <family val="1"/>
    </font>
    <font>
      <b/>
      <sz val="16"/>
      <name val="Arial"/>
      <family val="2"/>
    </font>
    <font>
      <sz val="18"/>
      <name val="Times New Roman"/>
      <family val="1"/>
    </font>
    <font>
      <i/>
      <sz val="18"/>
      <name val="Times New Roman"/>
      <family val="1"/>
    </font>
    <font>
      <b/>
      <sz val="14"/>
      <color rgb="FFFF0000"/>
      <name val="Arial"/>
      <family val="2"/>
    </font>
  </fonts>
  <fills count="35">
    <fill>
      <patternFill patternType="none"/>
    </fill>
    <fill>
      <patternFill patternType="gray125"/>
    </fill>
    <fill>
      <patternFill patternType="solid">
        <fgColor indexed="15"/>
        <bgColor indexed="64"/>
      </patternFill>
    </fill>
    <fill>
      <patternFill patternType="solid">
        <fgColor indexed="43"/>
        <bgColor indexed="64"/>
      </patternFill>
    </fill>
    <fill>
      <patternFill patternType="solid">
        <fgColor indexed="9"/>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60"/>
        <bgColor indexed="64"/>
      </patternFill>
    </fill>
    <fill>
      <patternFill patternType="solid">
        <fgColor rgb="FFFFFF99"/>
        <bgColor indexed="64"/>
      </patternFill>
    </fill>
    <fill>
      <patternFill patternType="solid">
        <fgColor theme="0"/>
        <bgColor indexed="64"/>
      </patternFill>
    </fill>
    <fill>
      <patternFill patternType="solid">
        <fgColor theme="5" tint="0.59996337778862885"/>
        <bgColor indexed="64"/>
      </patternFill>
    </fill>
    <fill>
      <patternFill patternType="solid">
        <fgColor rgb="FFCCFFCC"/>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6" tint="0.39994506668294322"/>
        <bgColor indexed="64"/>
      </patternFill>
    </fill>
    <fill>
      <patternFill patternType="solid">
        <fgColor theme="0" tint="-0.499984740745262"/>
        <bgColor indexed="64"/>
      </patternFill>
    </fill>
    <fill>
      <patternFill patternType="solid">
        <fgColor rgb="FFFF8080"/>
        <bgColor indexed="64"/>
      </patternFill>
    </fill>
    <fill>
      <patternFill patternType="solid">
        <fgColor rgb="FFFFC000"/>
        <bgColor indexed="64"/>
      </patternFill>
    </fill>
    <fill>
      <patternFill patternType="solid">
        <fgColor rgb="FFFFFF0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rgb="FFFF7C80"/>
        <bgColor indexed="64"/>
      </patternFill>
    </fill>
    <fill>
      <patternFill patternType="solid">
        <fgColor rgb="FF99FF99"/>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rgb="FFFFCC0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theme="6" tint="0.59999389629810485"/>
        <bgColor indexed="64"/>
      </patternFill>
    </fill>
    <fill>
      <patternFill patternType="solid">
        <fgColor theme="5" tint="0.79998168889431442"/>
        <bgColor indexed="64"/>
      </patternFill>
    </fill>
  </fills>
  <borders count="66">
    <border>
      <left/>
      <right/>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ed">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right style="dotted">
        <color indexed="64"/>
      </right>
      <top style="thin">
        <color indexed="64"/>
      </top>
      <bottom/>
      <diagonal/>
    </border>
    <border>
      <left/>
      <right style="dotted">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right style="dotted">
        <color indexed="64"/>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right/>
      <top/>
      <bottom style="medium">
        <color indexed="64"/>
      </bottom>
      <diagonal/>
    </border>
    <border>
      <left style="dashed">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diagonal/>
    </border>
    <border>
      <left style="dashed">
        <color indexed="64"/>
      </left>
      <right style="thin">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bottom style="thin">
        <color indexed="64"/>
      </bottom>
      <diagonal/>
    </border>
  </borders>
  <cellStyleXfs count="7">
    <xf numFmtId="0" fontId="0" fillId="0" borderId="0"/>
    <xf numFmtId="43" fontId="9" fillId="0" borderId="0" applyFont="0" applyFill="0" applyBorder="0" applyAlignment="0" applyProtection="0"/>
    <xf numFmtId="43" fontId="37" fillId="0" borderId="0" applyFont="0" applyFill="0" applyBorder="0" applyAlignment="0" applyProtection="0"/>
    <xf numFmtId="0" fontId="37" fillId="0" borderId="0"/>
    <xf numFmtId="9" fontId="7" fillId="0" borderId="0" applyFont="0" applyFill="0" applyBorder="0" applyAlignment="0" applyProtection="0"/>
    <xf numFmtId="44" fontId="50" fillId="0" borderId="0" applyFont="0" applyFill="0" applyBorder="0" applyAlignment="0" applyProtection="0"/>
    <xf numFmtId="9" fontId="6" fillId="0" borderId="0" applyFont="0" applyFill="0" applyBorder="0" applyAlignment="0" applyProtection="0"/>
  </cellStyleXfs>
  <cellXfs count="871">
    <xf numFmtId="0" fontId="0" fillId="0" borderId="0" xfId="0"/>
    <xf numFmtId="0" fontId="2" fillId="0" borderId="0" xfId="0" applyFont="1"/>
    <xf numFmtId="3" fontId="1" fillId="2" borderId="0" xfId="0" applyNumberFormat="1" applyFont="1" applyFill="1" applyBorder="1"/>
    <xf numFmtId="0" fontId="1" fillId="2" borderId="0" xfId="0" applyFont="1" applyFill="1" applyBorder="1" applyAlignment="1">
      <alignment horizontal="right"/>
    </xf>
    <xf numFmtId="0" fontId="1" fillId="2" borderId="0" xfId="0" applyFont="1" applyFill="1" applyBorder="1"/>
    <xf numFmtId="3" fontId="0" fillId="0" borderId="0" xfId="0" applyNumberFormat="1"/>
    <xf numFmtId="0" fontId="38" fillId="0" borderId="0" xfId="0" applyFont="1" applyAlignment="1">
      <alignment horizontal="center" vertical="center" wrapText="1"/>
    </xf>
    <xf numFmtId="0" fontId="39" fillId="0" borderId="0" xfId="0" applyFont="1"/>
    <xf numFmtId="3" fontId="40" fillId="0" borderId="0" xfId="0" applyNumberFormat="1" applyFont="1"/>
    <xf numFmtId="3" fontId="41" fillId="0" borderId="0" xfId="0" applyNumberFormat="1" applyFont="1"/>
    <xf numFmtId="3" fontId="41" fillId="0" borderId="0" xfId="0" applyNumberFormat="1" applyFont="1" applyAlignment="1">
      <alignment vertical="top"/>
    </xf>
    <xf numFmtId="9" fontId="39" fillId="0" borderId="0" xfId="0" applyNumberFormat="1" applyFont="1"/>
    <xf numFmtId="9" fontId="39" fillId="0" borderId="0" xfId="0" applyNumberFormat="1" applyFont="1" applyFill="1" applyBorder="1"/>
    <xf numFmtId="3" fontId="39" fillId="0" borderId="0" xfId="0" applyNumberFormat="1" applyFont="1"/>
    <xf numFmtId="3" fontId="39" fillId="0" borderId="0" xfId="0" applyNumberFormat="1" applyFont="1" applyAlignment="1">
      <alignment vertical="top"/>
    </xf>
    <xf numFmtId="0" fontId="41" fillId="0" borderId="0" xfId="0" applyFont="1"/>
    <xf numFmtId="9" fontId="8" fillId="0" borderId="0" xfId="4" applyFont="1"/>
    <xf numFmtId="0" fontId="42" fillId="0" borderId="0" xfId="0" applyFont="1" applyAlignment="1">
      <alignment horizontal="left" vertical="center" wrapText="1"/>
    </xf>
    <xf numFmtId="1" fontId="12" fillId="0" borderId="1" xfId="0" applyNumberFormat="1" applyFont="1" applyFill="1" applyBorder="1" applyAlignment="1">
      <alignment horizontal="center" vertical="center"/>
    </xf>
    <xf numFmtId="0" fontId="12" fillId="3"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horizontal="center" vertical="center"/>
    </xf>
    <xf numFmtId="0" fontId="12" fillId="3" borderId="1" xfId="0" applyFont="1" applyFill="1" applyBorder="1" applyAlignment="1">
      <alignment horizontal="center" vertical="center"/>
    </xf>
    <xf numFmtId="0" fontId="12" fillId="9" borderId="1" xfId="0" applyFont="1" applyFill="1" applyBorder="1" applyAlignment="1">
      <alignment horizontal="center"/>
    </xf>
    <xf numFmtId="3" fontId="12" fillId="10" borderId="1" xfId="0" applyNumberFormat="1" applyFont="1" applyFill="1" applyBorder="1" applyAlignment="1">
      <alignment horizontal="center"/>
    </xf>
    <xf numFmtId="0" fontId="6" fillId="0" borderId="0" xfId="0" applyFont="1"/>
    <xf numFmtId="3" fontId="13" fillId="3" borderId="1" xfId="0" applyNumberFormat="1" applyFont="1" applyFill="1" applyBorder="1" applyAlignment="1">
      <alignment vertical="center"/>
    </xf>
    <xf numFmtId="0" fontId="13" fillId="0" borderId="1" xfId="0" applyFont="1" applyBorder="1" applyAlignment="1">
      <alignment vertical="center"/>
    </xf>
    <xf numFmtId="0" fontId="13" fillId="3" borderId="1" xfId="0" applyFont="1" applyFill="1" applyBorder="1" applyAlignment="1">
      <alignment vertical="center"/>
    </xf>
    <xf numFmtId="0" fontId="13" fillId="9" borderId="1" xfId="0" applyFont="1" applyFill="1" applyBorder="1" applyAlignment="1">
      <alignment vertical="center"/>
    </xf>
    <xf numFmtId="3" fontId="13" fillId="10" borderId="1" xfId="0" applyNumberFormat="1" applyFont="1" applyFill="1" applyBorder="1" applyAlignment="1">
      <alignment vertical="center"/>
    </xf>
    <xf numFmtId="3" fontId="11" fillId="3" borderId="1" xfId="0" applyNumberFormat="1" applyFont="1" applyFill="1" applyBorder="1" applyAlignment="1">
      <alignment vertical="center"/>
    </xf>
    <xf numFmtId="3" fontId="11" fillId="0" borderId="1" xfId="0" applyNumberFormat="1" applyFont="1" applyBorder="1" applyAlignment="1">
      <alignment vertical="center"/>
    </xf>
    <xf numFmtId="3" fontId="11" fillId="9" borderId="1" xfId="0" applyNumberFormat="1" applyFont="1" applyFill="1" applyBorder="1" applyAlignment="1">
      <alignment vertical="center"/>
    </xf>
    <xf numFmtId="3" fontId="11" fillId="10" borderId="1" xfId="0" applyNumberFormat="1" applyFont="1" applyFill="1" applyBorder="1" applyAlignment="1">
      <alignment vertical="center"/>
    </xf>
    <xf numFmtId="3" fontId="11" fillId="0" borderId="1" xfId="0" applyNumberFormat="1" applyFont="1" applyFill="1" applyBorder="1" applyAlignment="1">
      <alignment vertical="center"/>
    </xf>
    <xf numFmtId="3" fontId="12" fillId="0" borderId="1" xfId="0" applyNumberFormat="1" applyFont="1" applyFill="1" applyBorder="1" applyAlignment="1">
      <alignment vertical="center"/>
    </xf>
    <xf numFmtId="3" fontId="12" fillId="3" borderId="1" xfId="0" applyNumberFormat="1" applyFont="1" applyFill="1" applyBorder="1" applyAlignment="1">
      <alignment vertical="center"/>
    </xf>
    <xf numFmtId="3" fontId="12" fillId="9" borderId="1" xfId="0" applyNumberFormat="1" applyFont="1" applyFill="1" applyBorder="1" applyAlignment="1">
      <alignment vertical="center"/>
    </xf>
    <xf numFmtId="3" fontId="12" fillId="10" borderId="1" xfId="0" applyNumberFormat="1" applyFont="1" applyFill="1" applyBorder="1" applyAlignment="1">
      <alignment vertical="center"/>
    </xf>
    <xf numFmtId="9" fontId="8" fillId="11" borderId="1" xfId="4" applyFont="1" applyFill="1" applyBorder="1" applyAlignment="1">
      <alignment vertical="center"/>
    </xf>
    <xf numFmtId="3" fontId="13" fillId="0" borderId="1" xfId="0" applyNumberFormat="1" applyFont="1" applyBorder="1" applyAlignment="1">
      <alignment vertical="center"/>
    </xf>
    <xf numFmtId="3" fontId="13" fillId="9" borderId="1" xfId="0" applyNumberFormat="1" applyFont="1" applyFill="1" applyBorder="1" applyAlignment="1">
      <alignment vertical="center"/>
    </xf>
    <xf numFmtId="3" fontId="14" fillId="9" borderId="1" xfId="0" applyNumberFormat="1" applyFont="1" applyFill="1" applyBorder="1" applyAlignment="1">
      <alignment vertical="center"/>
    </xf>
    <xf numFmtId="0" fontId="11" fillId="0" borderId="1" xfId="0" applyFont="1" applyBorder="1" applyAlignment="1">
      <alignment vertical="center"/>
    </xf>
    <xf numFmtId="3" fontId="16" fillId="0" borderId="1" xfId="0" applyNumberFormat="1" applyFont="1" applyFill="1" applyBorder="1" applyAlignment="1">
      <alignment horizontal="right"/>
    </xf>
    <xf numFmtId="0" fontId="12" fillId="6" borderId="1" xfId="0" applyFont="1" applyFill="1" applyBorder="1" applyAlignment="1">
      <alignment horizontal="center"/>
    </xf>
    <xf numFmtId="3" fontId="13" fillId="6" borderId="1" xfId="0" applyNumberFormat="1" applyFont="1" applyFill="1" applyBorder="1" applyAlignment="1">
      <alignment vertical="center"/>
    </xf>
    <xf numFmtId="0" fontId="13" fillId="6" borderId="1" xfId="0" applyFont="1" applyFill="1" applyBorder="1" applyAlignment="1">
      <alignment vertical="center"/>
    </xf>
    <xf numFmtId="0" fontId="13" fillId="12" borderId="1" xfId="0" applyFont="1" applyFill="1" applyBorder="1" applyAlignment="1">
      <alignment vertical="center"/>
    </xf>
    <xf numFmtId="3" fontId="11" fillId="6" borderId="1" xfId="0" applyNumberFormat="1" applyFont="1" applyFill="1" applyBorder="1" applyAlignment="1">
      <alignment vertical="center"/>
    </xf>
    <xf numFmtId="3" fontId="11" fillId="12" borderId="1" xfId="0" applyNumberFormat="1" applyFont="1" applyFill="1" applyBorder="1" applyAlignment="1">
      <alignment vertical="center"/>
    </xf>
    <xf numFmtId="3" fontId="12" fillId="0" borderId="1" xfId="0" applyNumberFormat="1" applyFont="1" applyBorder="1" applyAlignment="1">
      <alignment vertical="center"/>
    </xf>
    <xf numFmtId="3" fontId="12" fillId="6" borderId="1" xfId="0" applyNumberFormat="1" applyFont="1" applyFill="1" applyBorder="1" applyAlignment="1">
      <alignment vertical="center"/>
    </xf>
    <xf numFmtId="3" fontId="12" fillId="12" borderId="1" xfId="0" applyNumberFormat="1" applyFont="1" applyFill="1" applyBorder="1" applyAlignment="1">
      <alignment vertical="center"/>
    </xf>
    <xf numFmtId="0" fontId="12" fillId="0" borderId="1" xfId="0" applyFont="1" applyBorder="1" applyAlignment="1">
      <alignment vertical="center"/>
    </xf>
    <xf numFmtId="0" fontId="11" fillId="6" borderId="1" xfId="0" applyFont="1" applyFill="1" applyBorder="1" applyAlignment="1">
      <alignment vertical="center"/>
    </xf>
    <xf numFmtId="0" fontId="11" fillId="0" borderId="1" xfId="0" applyFont="1" applyFill="1" applyBorder="1" applyAlignment="1">
      <alignment vertical="center"/>
    </xf>
    <xf numFmtId="3" fontId="13" fillId="12" borderId="1" xfId="0" applyNumberFormat="1" applyFont="1" applyFill="1" applyBorder="1" applyAlignment="1">
      <alignment vertical="center"/>
    </xf>
    <xf numFmtId="0" fontId="13" fillId="0" borderId="1" xfId="0" applyFont="1" applyFill="1" applyBorder="1" applyAlignment="1">
      <alignment vertical="center"/>
    </xf>
    <xf numFmtId="0" fontId="12" fillId="0" borderId="1" xfId="0" applyFont="1" applyFill="1" applyBorder="1" applyAlignment="1">
      <alignment vertical="center"/>
    </xf>
    <xf numFmtId="3" fontId="16" fillId="0" borderId="1" xfId="0" applyNumberFormat="1" applyFont="1" applyFill="1" applyBorder="1" applyAlignment="1">
      <alignment horizontal="right" vertical="center"/>
    </xf>
    <xf numFmtId="1" fontId="12"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3" fontId="11" fillId="0" borderId="1" xfId="0" applyNumberFormat="1" applyFont="1" applyFill="1" applyBorder="1" applyAlignment="1">
      <alignment horizontal="center" vertical="center"/>
    </xf>
    <xf numFmtId="3" fontId="18" fillId="0" borderId="1" xfId="0" applyNumberFormat="1" applyFont="1" applyFill="1" applyBorder="1" applyAlignment="1">
      <alignment vertical="center"/>
    </xf>
    <xf numFmtId="0" fontId="18" fillId="0" borderId="1" xfId="0" applyFont="1" applyFill="1" applyBorder="1" applyAlignment="1">
      <alignment vertical="center"/>
    </xf>
    <xf numFmtId="0" fontId="18" fillId="0" borderId="1" xfId="0" applyFont="1" applyBorder="1" applyAlignment="1">
      <alignment vertical="center"/>
    </xf>
    <xf numFmtId="0" fontId="12" fillId="0" borderId="2" xfId="0" applyFont="1" applyBorder="1" applyAlignment="1">
      <alignment vertical="center"/>
    </xf>
    <xf numFmtId="0" fontId="11" fillId="0" borderId="2" xfId="0" applyFont="1" applyBorder="1" applyAlignment="1">
      <alignment vertical="center"/>
    </xf>
    <xf numFmtId="3" fontId="12" fillId="0" borderId="1" xfId="0" applyNumberFormat="1" applyFont="1" applyFill="1" applyBorder="1" applyAlignment="1">
      <alignment horizontal="right" vertical="center"/>
    </xf>
    <xf numFmtId="3" fontId="18" fillId="0" borderId="1" xfId="0" applyNumberFormat="1" applyFont="1" applyBorder="1" applyAlignment="1">
      <alignment vertical="center"/>
    </xf>
    <xf numFmtId="0" fontId="12" fillId="0" borderId="2" xfId="0" applyFont="1" applyFill="1" applyBorder="1" applyAlignment="1">
      <alignment vertical="center"/>
    </xf>
    <xf numFmtId="3" fontId="11" fillId="0" borderId="1" xfId="0" applyNumberFormat="1" applyFont="1" applyFill="1" applyBorder="1" applyAlignment="1">
      <alignment horizontal="right" vertical="center"/>
    </xf>
    <xf numFmtId="3" fontId="15" fillId="0" borderId="1" xfId="0" applyNumberFormat="1" applyFont="1" applyFill="1" applyBorder="1" applyAlignment="1">
      <alignment horizontal="right" vertical="center"/>
    </xf>
    <xf numFmtId="0" fontId="15" fillId="0" borderId="2" xfId="0" applyFont="1" applyBorder="1"/>
    <xf numFmtId="0" fontId="12" fillId="13" borderId="1" xfId="0" applyFont="1" applyFill="1" applyBorder="1" applyAlignment="1">
      <alignment horizontal="center"/>
    </xf>
    <xf numFmtId="0" fontId="12" fillId="10" borderId="1" xfId="0" applyFont="1" applyFill="1" applyBorder="1" applyAlignment="1">
      <alignment horizontal="center"/>
    </xf>
    <xf numFmtId="3" fontId="13" fillId="13" borderId="1" xfId="0" applyNumberFormat="1" applyFont="1" applyFill="1" applyBorder="1" applyAlignment="1">
      <alignment vertical="center"/>
    </xf>
    <xf numFmtId="0" fontId="13" fillId="13" borderId="1" xfId="0" applyFont="1" applyFill="1" applyBorder="1" applyAlignment="1">
      <alignment vertical="center"/>
    </xf>
    <xf numFmtId="3" fontId="11" fillId="13" borderId="1" xfId="0" applyNumberFormat="1" applyFont="1" applyFill="1" applyBorder="1" applyAlignment="1">
      <alignment vertical="center"/>
    </xf>
    <xf numFmtId="0" fontId="11" fillId="13" borderId="1" xfId="0" applyFont="1" applyFill="1" applyBorder="1" applyAlignment="1">
      <alignment vertical="center"/>
    </xf>
    <xf numFmtId="3" fontId="12" fillId="13" borderId="1" xfId="0" applyNumberFormat="1" applyFont="1" applyFill="1" applyBorder="1" applyAlignment="1">
      <alignment vertical="center"/>
    </xf>
    <xf numFmtId="0" fontId="12" fillId="2" borderId="1" xfId="0" applyFont="1" applyFill="1" applyBorder="1" applyAlignment="1">
      <alignment horizontal="center"/>
    </xf>
    <xf numFmtId="0" fontId="12" fillId="2" borderId="2" xfId="0" applyFont="1" applyFill="1" applyBorder="1" applyAlignment="1">
      <alignment horizontal="center"/>
    </xf>
    <xf numFmtId="3" fontId="19" fillId="0" borderId="1" xfId="0" applyNumberFormat="1" applyFont="1" applyFill="1" applyBorder="1" applyAlignment="1">
      <alignment vertical="center"/>
    </xf>
    <xf numFmtId="0" fontId="19" fillId="0" borderId="1" xfId="0" applyFont="1" applyFill="1" applyBorder="1" applyAlignment="1">
      <alignment vertical="center"/>
    </xf>
    <xf numFmtId="0" fontId="19" fillId="0" borderId="1" xfId="0" applyFont="1" applyBorder="1" applyAlignment="1">
      <alignment vertical="center"/>
    </xf>
    <xf numFmtId="0" fontId="13" fillId="0" borderId="2" xfId="0" applyFont="1" applyBorder="1" applyAlignment="1">
      <alignment vertical="center"/>
    </xf>
    <xf numFmtId="3" fontId="11" fillId="0" borderId="2" xfId="0" applyNumberFormat="1" applyFont="1" applyBorder="1" applyAlignment="1">
      <alignment vertical="center"/>
    </xf>
    <xf numFmtId="3" fontId="19" fillId="0" borderId="1" xfId="0" applyNumberFormat="1" applyFont="1" applyBorder="1" applyAlignment="1">
      <alignment vertical="center"/>
    </xf>
    <xf numFmtId="3" fontId="13" fillId="0" borderId="2" xfId="0" applyNumberFormat="1" applyFont="1" applyBorder="1" applyAlignment="1">
      <alignment vertical="center"/>
    </xf>
    <xf numFmtId="10" fontId="11" fillId="0" borderId="1" xfId="0" applyNumberFormat="1" applyFont="1" applyBorder="1"/>
    <xf numFmtId="1" fontId="12" fillId="7" borderId="1" xfId="0" applyNumberFormat="1" applyFont="1" applyFill="1" applyBorder="1" applyAlignment="1">
      <alignment horizontal="center" vertical="center"/>
    </xf>
    <xf numFmtId="0" fontId="12" fillId="14" borderId="1" xfId="0" applyFont="1" applyFill="1" applyBorder="1" applyAlignment="1">
      <alignment horizontal="center"/>
    </xf>
    <xf numFmtId="3" fontId="13" fillId="7" borderId="1" xfId="0" applyNumberFormat="1" applyFont="1" applyFill="1" applyBorder="1" applyAlignment="1">
      <alignment vertical="center"/>
    </xf>
    <xf numFmtId="0" fontId="13" fillId="7" borderId="1" xfId="0" applyFont="1" applyFill="1" applyBorder="1" applyAlignment="1">
      <alignment vertical="center"/>
    </xf>
    <xf numFmtId="3" fontId="11" fillId="7" borderId="1" xfId="0" applyNumberFormat="1" applyFont="1" applyFill="1" applyBorder="1" applyAlignment="1">
      <alignment vertical="center"/>
    </xf>
    <xf numFmtId="3" fontId="11" fillId="14" borderId="1" xfId="0" applyNumberFormat="1" applyFont="1" applyFill="1" applyBorder="1" applyAlignment="1">
      <alignment vertical="center"/>
    </xf>
    <xf numFmtId="3" fontId="12" fillId="14" borderId="1" xfId="0" applyNumberFormat="1" applyFont="1" applyFill="1" applyBorder="1" applyAlignment="1">
      <alignment vertical="center"/>
    </xf>
    <xf numFmtId="0" fontId="11" fillId="14" borderId="1" xfId="0" applyFont="1" applyFill="1" applyBorder="1" applyAlignment="1">
      <alignment vertical="center"/>
    </xf>
    <xf numFmtId="3" fontId="12" fillId="7" borderId="1" xfId="0" applyNumberFormat="1" applyFont="1" applyFill="1" applyBorder="1" applyAlignment="1">
      <alignment horizontal="right" vertical="center"/>
    </xf>
    <xf numFmtId="3" fontId="12" fillId="7" borderId="1" xfId="0" applyNumberFormat="1" applyFont="1" applyFill="1" applyBorder="1" applyAlignment="1">
      <alignment vertical="center"/>
    </xf>
    <xf numFmtId="3" fontId="13" fillId="0" borderId="1" xfId="0" applyNumberFormat="1" applyFont="1" applyFill="1" applyBorder="1" applyAlignment="1">
      <alignment vertical="center"/>
    </xf>
    <xf numFmtId="3" fontId="13" fillId="14" borderId="1" xfId="0" applyNumberFormat="1" applyFont="1" applyFill="1" applyBorder="1" applyAlignment="1">
      <alignment vertical="center"/>
    </xf>
    <xf numFmtId="3" fontId="12" fillId="10" borderId="1" xfId="0" applyNumberFormat="1" applyFont="1" applyFill="1" applyBorder="1" applyAlignment="1">
      <alignment horizontal="right" vertical="center"/>
    </xf>
    <xf numFmtId="3" fontId="12" fillId="14" borderId="1" xfId="0" applyNumberFormat="1" applyFont="1" applyFill="1" applyBorder="1" applyAlignment="1">
      <alignment horizontal="right" vertical="center"/>
    </xf>
    <xf numFmtId="0" fontId="12" fillId="2" borderId="0" xfId="0" applyFont="1" applyFill="1" applyBorder="1" applyAlignment="1">
      <alignment horizontal="center"/>
    </xf>
    <xf numFmtId="0" fontId="19" fillId="0" borderId="3" xfId="0" applyFont="1" applyFill="1" applyBorder="1" applyAlignment="1">
      <alignment vertical="center"/>
    </xf>
    <xf numFmtId="0" fontId="19" fillId="0" borderId="0" xfId="0" applyFont="1" applyFill="1" applyBorder="1" applyAlignment="1">
      <alignment vertical="center"/>
    </xf>
    <xf numFmtId="3" fontId="16" fillId="10" borderId="1" xfId="0" applyNumberFormat="1" applyFont="1" applyFill="1" applyBorder="1" applyAlignment="1">
      <alignment horizontal="right"/>
    </xf>
    <xf numFmtId="0" fontId="11" fillId="0" borderId="2" xfId="0" applyFont="1" applyBorder="1"/>
    <xf numFmtId="0" fontId="11" fillId="0" borderId="1" xfId="0" applyFont="1" applyBorder="1"/>
    <xf numFmtId="1" fontId="21" fillId="8" borderId="1" xfId="0" applyNumberFormat="1" applyFont="1" applyFill="1" applyBorder="1" applyAlignment="1">
      <alignment horizontal="center" vertical="center"/>
    </xf>
    <xf numFmtId="0" fontId="21" fillId="8" borderId="0" xfId="0" applyFont="1" applyFill="1" applyBorder="1" applyAlignment="1">
      <alignment horizontal="center"/>
    </xf>
    <xf numFmtId="0" fontId="21" fillId="8" borderId="1" xfId="0" applyFont="1" applyFill="1" applyBorder="1" applyAlignment="1">
      <alignment horizontal="center"/>
    </xf>
    <xf numFmtId="0" fontId="21" fillId="8" borderId="1" xfId="0" applyFont="1" applyFill="1" applyBorder="1" applyAlignment="1">
      <alignment horizontal="center" vertical="center"/>
    </xf>
    <xf numFmtId="3" fontId="11" fillId="0" borderId="2" xfId="0" applyNumberFormat="1" applyFont="1" applyBorder="1"/>
    <xf numFmtId="3" fontId="11" fillId="0" borderId="1" xfId="0" applyNumberFormat="1" applyFont="1" applyBorder="1"/>
    <xf numFmtId="0" fontId="12" fillId="12" borderId="1" xfId="0" applyFont="1" applyFill="1" applyBorder="1" applyAlignment="1">
      <alignment horizontal="center"/>
    </xf>
    <xf numFmtId="0" fontId="4" fillId="0" borderId="0" xfId="0" applyFont="1"/>
    <xf numFmtId="10" fontId="11" fillId="15" borderId="1" xfId="0" applyNumberFormat="1" applyFont="1" applyFill="1" applyBorder="1"/>
    <xf numFmtId="0" fontId="11" fillId="3" borderId="1" xfId="0" applyFont="1" applyFill="1" applyBorder="1" applyAlignment="1">
      <alignment horizontal="center" vertical="center"/>
    </xf>
    <xf numFmtId="0" fontId="11" fillId="10"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9" borderId="1" xfId="0" applyFont="1" applyFill="1" applyBorder="1" applyAlignment="1">
      <alignment horizontal="center" vertical="center"/>
    </xf>
    <xf numFmtId="3" fontId="11" fillId="10" borderId="1" xfId="0" applyNumberFormat="1" applyFont="1" applyFill="1" applyBorder="1" applyAlignment="1">
      <alignment horizontal="center" vertical="center"/>
    </xf>
    <xf numFmtId="3" fontId="11" fillId="6" borderId="1" xfId="0" applyNumberFormat="1" applyFont="1" applyFill="1" applyBorder="1" applyAlignment="1">
      <alignment horizontal="center" vertical="center"/>
    </xf>
    <xf numFmtId="3" fontId="11" fillId="12" borderId="1" xfId="0" applyNumberFormat="1" applyFont="1" applyFill="1" applyBorder="1" applyAlignment="1">
      <alignment horizontal="center" vertical="center"/>
    </xf>
    <xf numFmtId="3" fontId="11" fillId="13" borderId="1" xfId="0" applyNumberFormat="1" applyFont="1" applyFill="1" applyBorder="1" applyAlignment="1">
      <alignment horizontal="center" vertical="center"/>
    </xf>
    <xf numFmtId="3" fontId="11" fillId="7" borderId="1" xfId="0" applyNumberFormat="1" applyFont="1" applyFill="1" applyBorder="1" applyAlignment="1">
      <alignment horizontal="center" vertical="center"/>
    </xf>
    <xf numFmtId="3" fontId="11" fillId="14" borderId="1" xfId="0" applyNumberFormat="1" applyFont="1" applyFill="1" applyBorder="1" applyAlignment="1">
      <alignment horizontal="center" vertical="center"/>
    </xf>
    <xf numFmtId="9" fontId="8" fillId="11" borderId="2" xfId="4" applyFont="1" applyFill="1" applyBorder="1" applyAlignment="1">
      <alignment vertical="center"/>
    </xf>
    <xf numFmtId="0" fontId="20" fillId="8" borderId="2" xfId="0" applyFont="1" applyFill="1" applyBorder="1"/>
    <xf numFmtId="0" fontId="11" fillId="15" borderId="2" xfId="0" applyFont="1" applyFill="1" applyBorder="1"/>
    <xf numFmtId="0" fontId="11" fillId="0" borderId="4" xfId="0" applyFont="1" applyBorder="1"/>
    <xf numFmtId="3" fontId="11" fillId="0" borderId="5" xfId="0" applyNumberFormat="1" applyFont="1" applyBorder="1"/>
    <xf numFmtId="0" fontId="12" fillId="16" borderId="6" xfId="0" applyFont="1" applyFill="1" applyBorder="1" applyAlignment="1">
      <alignment vertical="center"/>
    </xf>
    <xf numFmtId="10" fontId="11" fillId="16" borderId="7" xfId="0" applyNumberFormat="1" applyFont="1" applyFill="1" applyBorder="1"/>
    <xf numFmtId="0" fontId="12" fillId="2" borderId="2" xfId="0" applyFont="1" applyFill="1" applyBorder="1"/>
    <xf numFmtId="0" fontId="13" fillId="0" borderId="0" xfId="0" applyFont="1" applyBorder="1" applyAlignment="1">
      <alignment vertical="center"/>
    </xf>
    <xf numFmtId="0" fontId="12" fillId="0" borderId="2" xfId="0" applyFont="1" applyBorder="1"/>
    <xf numFmtId="3" fontId="16" fillId="0" borderId="5" xfId="0" applyNumberFormat="1" applyFont="1" applyFill="1" applyBorder="1" applyAlignment="1">
      <alignment horizontal="right" vertical="center"/>
    </xf>
    <xf numFmtId="3" fontId="12" fillId="0" borderId="2" xfId="0" applyNumberFormat="1" applyFont="1" applyBorder="1" applyAlignment="1">
      <alignment vertical="center"/>
    </xf>
    <xf numFmtId="0" fontId="16" fillId="0" borderId="2" xfId="0" applyFont="1" applyBorder="1"/>
    <xf numFmtId="10" fontId="11" fillId="16" borderId="7" xfId="0" applyNumberFormat="1" applyFont="1" applyFill="1" applyBorder="1" applyAlignment="1">
      <alignment vertical="center"/>
    </xf>
    <xf numFmtId="0" fontId="16" fillId="0" borderId="4" xfId="0" applyFont="1" applyBorder="1"/>
    <xf numFmtId="0" fontId="12" fillId="2" borderId="2" xfId="0" applyFont="1" applyFill="1" applyBorder="1" applyAlignment="1">
      <alignment vertical="center"/>
    </xf>
    <xf numFmtId="0" fontId="17" fillId="0" borderId="2" xfId="0" applyFont="1" applyBorder="1" applyAlignment="1">
      <alignment vertical="center"/>
    </xf>
    <xf numFmtId="0" fontId="12" fillId="0" borderId="2" xfId="0" applyFont="1" applyBorder="1" applyAlignment="1">
      <alignment horizontal="left" vertical="center"/>
    </xf>
    <xf numFmtId="0" fontId="14" fillId="0" borderId="2" xfId="0" applyFont="1" applyBorder="1" applyAlignment="1">
      <alignment vertical="center"/>
    </xf>
    <xf numFmtId="0" fontId="23" fillId="0" borderId="0" xfId="0" applyFont="1"/>
    <xf numFmtId="0" fontId="31" fillId="0" borderId="0" xfId="0" applyFont="1"/>
    <xf numFmtId="0" fontId="31" fillId="0" borderId="0" xfId="0" applyFont="1" applyBorder="1"/>
    <xf numFmtId="0" fontId="25" fillId="0" borderId="0" xfId="0" applyFont="1"/>
    <xf numFmtId="10" fontId="25" fillId="0" borderId="0" xfId="4" applyNumberFormat="1" applyFont="1" applyBorder="1"/>
    <xf numFmtId="0" fontId="10" fillId="0" borderId="0" xfId="0" applyFont="1"/>
    <xf numFmtId="0" fontId="43" fillId="0" borderId="0" xfId="0" applyFont="1"/>
    <xf numFmtId="0" fontId="34" fillId="10" borderId="0" xfId="0" applyFont="1" applyFill="1" applyBorder="1" applyAlignment="1">
      <alignment horizontal="left"/>
    </xf>
    <xf numFmtId="164" fontId="11" fillId="0" borderId="1" xfId="1" applyNumberFormat="1" applyFont="1" applyBorder="1" applyAlignment="1">
      <alignment vertical="center"/>
    </xf>
    <xf numFmtId="0" fontId="28" fillId="20" borderId="12" xfId="0" applyFont="1" applyFill="1" applyBorder="1" applyAlignment="1">
      <alignment horizontal="center" wrapText="1"/>
    </xf>
    <xf numFmtId="0" fontId="28" fillId="20" borderId="1" xfId="0" applyFont="1" applyFill="1" applyBorder="1" applyAlignment="1">
      <alignment horizontal="center"/>
    </xf>
    <xf numFmtId="3" fontId="30" fillId="20" borderId="0" xfId="0" applyNumberFormat="1" applyFont="1" applyFill="1" applyBorder="1"/>
    <xf numFmtId="3" fontId="30" fillId="20" borderId="12" xfId="0" applyNumberFormat="1" applyFont="1" applyFill="1" applyBorder="1"/>
    <xf numFmtId="0" fontId="0" fillId="0" borderId="0" xfId="0" applyFill="1"/>
    <xf numFmtId="15" fontId="32" fillId="20" borderId="2" xfId="0" applyNumberFormat="1" applyFont="1" applyFill="1" applyBorder="1" applyAlignment="1">
      <alignment horizontal="center"/>
    </xf>
    <xf numFmtId="0" fontId="31" fillId="20" borderId="2" xfId="0" applyFont="1" applyFill="1" applyBorder="1"/>
    <xf numFmtId="0" fontId="30" fillId="20" borderId="2" xfId="0" applyFont="1" applyFill="1" applyBorder="1"/>
    <xf numFmtId="3" fontId="30" fillId="20" borderId="3" xfId="0" applyNumberFormat="1" applyFont="1" applyFill="1" applyBorder="1"/>
    <xf numFmtId="0" fontId="33" fillId="20" borderId="2" xfId="0" applyFont="1" applyFill="1" applyBorder="1"/>
    <xf numFmtId="0" fontId="22" fillId="0" borderId="8" xfId="0" applyFont="1" applyFill="1" applyBorder="1" applyAlignment="1"/>
    <xf numFmtId="0" fontId="22" fillId="0" borderId="0" xfId="0" applyFont="1" applyFill="1" applyBorder="1" applyAlignment="1">
      <alignment horizontal="right"/>
    </xf>
    <xf numFmtId="0" fontId="22" fillId="0" borderId="0" xfId="0" applyFont="1" applyFill="1" applyBorder="1"/>
    <xf numFmtId="3" fontId="22" fillId="23" borderId="12" xfId="0" applyNumberFormat="1" applyFont="1" applyFill="1" applyBorder="1"/>
    <xf numFmtId="3" fontId="22" fillId="0" borderId="12" xfId="0" applyNumberFormat="1" applyFont="1" applyFill="1" applyBorder="1"/>
    <xf numFmtId="3" fontId="22" fillId="24" borderId="12" xfId="0" applyNumberFormat="1" applyFont="1" applyFill="1" applyBorder="1"/>
    <xf numFmtId="0" fontId="24" fillId="0" borderId="0" xfId="0" applyFont="1" applyFill="1" applyBorder="1" applyAlignment="1">
      <alignment horizontal="right"/>
    </xf>
    <xf numFmtId="0" fontId="35" fillId="0" borderId="0" xfId="0" applyFont="1" applyFill="1" applyBorder="1"/>
    <xf numFmtId="0" fontId="24" fillId="0" borderId="13" xfId="0" applyFont="1" applyFill="1" applyBorder="1" applyAlignment="1">
      <alignment horizontal="right"/>
    </xf>
    <xf numFmtId="0" fontId="35" fillId="0" borderId="10" xfId="0" applyFont="1" applyFill="1" applyBorder="1"/>
    <xf numFmtId="9" fontId="22" fillId="23" borderId="12" xfId="4" applyFont="1" applyFill="1" applyBorder="1"/>
    <xf numFmtId="9" fontId="22" fillId="0" borderId="12" xfId="4" applyFont="1" applyFill="1" applyBorder="1"/>
    <xf numFmtId="9" fontId="22" fillId="24" borderId="12" xfId="4" applyFont="1" applyFill="1" applyBorder="1"/>
    <xf numFmtId="0" fontId="24" fillId="0" borderId="0" xfId="0" applyFont="1" applyFill="1" applyBorder="1"/>
    <xf numFmtId="0" fontId="24" fillId="0" borderId="0" xfId="0" applyFont="1"/>
    <xf numFmtId="0" fontId="24" fillId="0" borderId="15" xfId="0" applyFont="1" applyBorder="1" applyAlignment="1">
      <alignment horizontal="center" vertical="center"/>
    </xf>
    <xf numFmtId="0" fontId="24" fillId="0" borderId="15" xfId="0" applyFont="1" applyBorder="1"/>
    <xf numFmtId="0" fontId="24" fillId="0" borderId="0" xfId="0" applyFont="1" applyBorder="1"/>
    <xf numFmtId="0" fontId="46" fillId="0" borderId="0" xfId="0" applyFont="1"/>
    <xf numFmtId="0" fontId="3" fillId="0" borderId="0" xfId="0" applyFont="1" applyFill="1" applyBorder="1" applyAlignment="1">
      <alignment horizontal="center" wrapText="1"/>
    </xf>
    <xf numFmtId="15" fontId="22" fillId="0" borderId="0" xfId="0" applyNumberFormat="1" applyFont="1" applyFill="1" applyBorder="1" applyAlignment="1"/>
    <xf numFmtId="0" fontId="22" fillId="0" borderId="0" xfId="0" applyFont="1" applyFill="1" applyBorder="1" applyAlignment="1">
      <alignment horizontal="center"/>
    </xf>
    <xf numFmtId="15" fontId="22" fillId="0" borderId="0" xfId="0" applyNumberFormat="1" applyFont="1" applyFill="1" applyBorder="1" applyAlignment="1">
      <alignment horizontal="center"/>
    </xf>
    <xf numFmtId="0" fontId="22" fillId="0" borderId="0" xfId="0" applyFont="1" applyFill="1" applyAlignment="1">
      <alignment horizontal="center"/>
    </xf>
    <xf numFmtId="9" fontId="47" fillId="19" borderId="12" xfId="0" applyNumberFormat="1" applyFont="1" applyFill="1" applyBorder="1" applyAlignment="1">
      <alignment horizontal="center"/>
    </xf>
    <xf numFmtId="9" fontId="22" fillId="0" borderId="0" xfId="0" applyNumberFormat="1" applyFont="1" applyFill="1" applyBorder="1" applyAlignment="1">
      <alignment horizontal="center"/>
    </xf>
    <xf numFmtId="9" fontId="22" fillId="0" borderId="12" xfId="0" applyNumberFormat="1" applyFont="1" applyFill="1" applyBorder="1" applyAlignment="1">
      <alignment horizontal="center"/>
    </xf>
    <xf numFmtId="14" fontId="22" fillId="0" borderId="0" xfId="0" applyNumberFormat="1" applyFont="1" applyFill="1" applyBorder="1" applyAlignment="1">
      <alignment horizontal="center"/>
    </xf>
    <xf numFmtId="0" fontId="22" fillId="2" borderId="0" xfId="0" applyFont="1" applyFill="1" applyBorder="1" applyAlignment="1">
      <alignment horizontal="right"/>
    </xf>
    <xf numFmtId="0" fontId="22" fillId="2" borderId="0" xfId="0" applyFont="1" applyFill="1" applyBorder="1"/>
    <xf numFmtId="3" fontId="22" fillId="2" borderId="0" xfId="0" applyNumberFormat="1" applyFont="1" applyFill="1" applyBorder="1"/>
    <xf numFmtId="0" fontId="45" fillId="0" borderId="0" xfId="0" applyFont="1" applyAlignment="1">
      <alignment horizontal="left" vertical="center" wrapText="1"/>
    </xf>
    <xf numFmtId="3" fontId="24" fillId="0" borderId="0" xfId="0" applyNumberFormat="1" applyFont="1"/>
    <xf numFmtId="0" fontId="45" fillId="0" borderId="0" xfId="0" applyFont="1" applyAlignment="1">
      <alignment vertical="center" wrapText="1"/>
    </xf>
    <xf numFmtId="3" fontId="11" fillId="9" borderId="1" xfId="0" applyNumberFormat="1" applyFont="1" applyFill="1" applyBorder="1" applyAlignment="1">
      <alignment horizontal="center" vertical="center"/>
    </xf>
    <xf numFmtId="3" fontId="12" fillId="9" borderId="1" xfId="0" applyNumberFormat="1" applyFont="1" applyFill="1" applyBorder="1" applyAlignment="1">
      <alignment horizontal="center"/>
    </xf>
    <xf numFmtId="3" fontId="48" fillId="9" borderId="1" xfId="4" applyNumberFormat="1" applyFont="1" applyFill="1" applyBorder="1" applyAlignment="1">
      <alignment horizontal="right"/>
    </xf>
    <xf numFmtId="9" fontId="6" fillId="9" borderId="1" xfId="4" applyFont="1" applyFill="1" applyBorder="1" applyAlignment="1">
      <alignment horizontal="center"/>
    </xf>
    <xf numFmtId="0" fontId="48" fillId="9" borderId="1" xfId="4" applyNumberFormat="1" applyFont="1" applyFill="1" applyBorder="1" applyAlignment="1">
      <alignment horizontal="right"/>
    </xf>
    <xf numFmtId="164" fontId="49" fillId="9" borderId="1" xfId="1" applyNumberFormat="1" applyFont="1" applyFill="1" applyBorder="1" applyAlignment="1">
      <alignment horizontal="right"/>
    </xf>
    <xf numFmtId="9" fontId="13" fillId="9" borderId="1" xfId="4" applyFont="1" applyFill="1" applyBorder="1" applyAlignment="1">
      <alignment horizontal="center" vertical="center"/>
    </xf>
    <xf numFmtId="3" fontId="48" fillId="9" borderId="1" xfId="4" applyNumberFormat="1" applyFont="1" applyFill="1" applyBorder="1" applyAlignment="1">
      <alignment horizontal="right" vertical="center"/>
    </xf>
    <xf numFmtId="164" fontId="48" fillId="9" borderId="1" xfId="1" applyNumberFormat="1" applyFont="1" applyFill="1" applyBorder="1" applyAlignment="1">
      <alignment horizontal="right" vertical="center"/>
    </xf>
    <xf numFmtId="3" fontId="11" fillId="9" borderId="1" xfId="4" applyNumberFormat="1" applyFont="1" applyFill="1" applyBorder="1" applyAlignment="1">
      <alignment horizontal="right" vertical="center"/>
    </xf>
    <xf numFmtId="164" fontId="11" fillId="9" borderId="1" xfId="1" applyNumberFormat="1" applyFont="1" applyFill="1" applyBorder="1" applyAlignment="1">
      <alignment horizontal="right"/>
    </xf>
    <xf numFmtId="0" fontId="11" fillId="9" borderId="1" xfId="4" applyNumberFormat="1" applyFont="1" applyFill="1" applyBorder="1" applyAlignment="1">
      <alignment horizontal="right"/>
    </xf>
    <xf numFmtId="3" fontId="6" fillId="0" borderId="0" xfId="0" applyNumberFormat="1" applyFont="1"/>
    <xf numFmtId="9" fontId="8" fillId="0" borderId="1" xfId="4" applyFont="1" applyFill="1" applyBorder="1" applyAlignment="1">
      <alignment vertical="center"/>
    </xf>
    <xf numFmtId="0" fontId="51" fillId="12" borderId="1" xfId="0" applyFont="1" applyFill="1" applyBorder="1" applyAlignment="1">
      <alignment horizontal="center"/>
    </xf>
    <xf numFmtId="3" fontId="48" fillId="12" borderId="1" xfId="0" applyNumberFormat="1" applyFont="1" applyFill="1" applyBorder="1" applyAlignment="1">
      <alignment horizontal="center" vertical="center"/>
    </xf>
    <xf numFmtId="0" fontId="52" fillId="12" borderId="1" xfId="0" applyFont="1" applyFill="1" applyBorder="1" applyAlignment="1">
      <alignment vertical="center"/>
    </xf>
    <xf numFmtId="164" fontId="48" fillId="12" borderId="1" xfId="1" applyNumberFormat="1" applyFont="1" applyFill="1" applyBorder="1"/>
    <xf numFmtId="3" fontId="48" fillId="12" borderId="1" xfId="0" applyNumberFormat="1" applyFont="1" applyFill="1" applyBorder="1" applyAlignment="1">
      <alignment vertical="center"/>
    </xf>
    <xf numFmtId="164" fontId="51" fillId="12" borderId="1" xfId="1" applyNumberFormat="1" applyFont="1" applyFill="1" applyBorder="1"/>
    <xf numFmtId="9" fontId="53" fillId="11" borderId="1" xfId="4" applyFont="1" applyFill="1" applyBorder="1" applyAlignment="1">
      <alignment vertical="center"/>
    </xf>
    <xf numFmtId="3" fontId="52" fillId="12" borderId="1" xfId="0" applyNumberFormat="1" applyFont="1" applyFill="1" applyBorder="1" applyAlignment="1">
      <alignment vertical="center"/>
    </xf>
    <xf numFmtId="3" fontId="48" fillId="12" borderId="1" xfId="0" applyNumberFormat="1" applyFont="1" applyFill="1" applyBorder="1"/>
    <xf numFmtId="0" fontId="48" fillId="12" borderId="1" xfId="0" applyFont="1" applyFill="1" applyBorder="1"/>
    <xf numFmtId="9" fontId="48" fillId="12" borderId="1" xfId="4" applyFont="1" applyFill="1" applyBorder="1" applyAlignment="1">
      <alignment horizontal="center"/>
    </xf>
    <xf numFmtId="3" fontId="51" fillId="12" borderId="1" xfId="0" applyNumberFormat="1" applyFont="1" applyFill="1" applyBorder="1" applyAlignment="1">
      <alignment vertical="center"/>
    </xf>
    <xf numFmtId="3" fontId="54" fillId="0" borderId="5" xfId="0" applyNumberFormat="1" applyFont="1" applyFill="1" applyBorder="1" applyAlignment="1">
      <alignment horizontal="right" vertical="center"/>
    </xf>
    <xf numFmtId="9" fontId="6" fillId="0" borderId="1" xfId="4" applyFont="1" applyBorder="1" applyAlignment="1">
      <alignment horizontal="center"/>
    </xf>
    <xf numFmtId="164" fontId="48" fillId="0" borderId="1" xfId="1" applyNumberFormat="1" applyFont="1" applyFill="1" applyBorder="1" applyAlignment="1">
      <alignment horizontal="center"/>
    </xf>
    <xf numFmtId="164" fontId="48" fillId="0" borderId="1" xfId="1" applyNumberFormat="1" applyFont="1" applyFill="1" applyBorder="1" applyAlignment="1">
      <alignment vertical="center"/>
    </xf>
    <xf numFmtId="164" fontId="48" fillId="0" borderId="1" xfId="1" applyNumberFormat="1" applyFont="1" applyBorder="1" applyAlignment="1">
      <alignment horizontal="center"/>
    </xf>
    <xf numFmtId="164" fontId="51" fillId="0" borderId="1" xfId="1" applyNumberFormat="1" applyFont="1" applyFill="1" applyBorder="1" applyAlignment="1">
      <alignment vertical="center"/>
    </xf>
    <xf numFmtId="9" fontId="6" fillId="0" borderId="1" xfId="4" applyFont="1" applyFill="1" applyBorder="1" applyAlignment="1">
      <alignment horizontal="center"/>
    </xf>
    <xf numFmtId="0" fontId="51" fillId="13" borderId="1" xfId="0" applyFont="1" applyFill="1" applyBorder="1" applyAlignment="1">
      <alignment horizontal="center" vertical="center"/>
    </xf>
    <xf numFmtId="0" fontId="48" fillId="13" borderId="1" xfId="0" applyFont="1" applyFill="1" applyBorder="1" applyAlignment="1">
      <alignment horizontal="center" vertical="center"/>
    </xf>
    <xf numFmtId="0" fontId="51" fillId="13" borderId="1" xfId="0" applyFont="1" applyFill="1" applyBorder="1" applyAlignment="1">
      <alignment vertical="center"/>
    </xf>
    <xf numFmtId="164" fontId="48" fillId="13" borderId="1" xfId="1" applyNumberFormat="1" applyFont="1" applyFill="1" applyBorder="1" applyAlignment="1">
      <alignment vertical="center"/>
    </xf>
    <xf numFmtId="164" fontId="51" fillId="13" borderId="1" xfId="1" applyNumberFormat="1" applyFont="1" applyFill="1" applyBorder="1" applyAlignment="1">
      <alignment vertical="center"/>
    </xf>
    <xf numFmtId="0" fontId="48" fillId="13" borderId="1" xfId="0" applyFont="1" applyFill="1" applyBorder="1" applyAlignment="1">
      <alignment vertical="center"/>
    </xf>
    <xf numFmtId="41" fontId="48" fillId="13" borderId="1" xfId="5" applyNumberFormat="1" applyFont="1" applyFill="1" applyBorder="1" applyAlignment="1">
      <alignment vertical="center"/>
    </xf>
    <xf numFmtId="0" fontId="52" fillId="13" borderId="1" xfId="0" applyFont="1" applyFill="1" applyBorder="1" applyAlignment="1">
      <alignment vertical="center"/>
    </xf>
    <xf numFmtId="9" fontId="48" fillId="16" borderId="1" xfId="4" applyFont="1" applyFill="1" applyBorder="1" applyAlignment="1">
      <alignment horizontal="center"/>
    </xf>
    <xf numFmtId="0" fontId="51" fillId="2" borderId="1" xfId="0" applyFont="1" applyFill="1" applyBorder="1" applyAlignment="1">
      <alignment horizontal="center"/>
    </xf>
    <xf numFmtId="3" fontId="48" fillId="0" borderId="1" xfId="0" applyNumberFormat="1" applyFont="1" applyFill="1" applyBorder="1" applyAlignment="1">
      <alignment horizontal="center" vertical="center"/>
    </xf>
    <xf numFmtId="9" fontId="48" fillId="0" borderId="1" xfId="4" applyFont="1" applyBorder="1" applyAlignment="1">
      <alignment horizontal="center"/>
    </xf>
    <xf numFmtId="3" fontId="51" fillId="0" borderId="1" xfId="0" applyNumberFormat="1" applyFont="1" applyFill="1" applyBorder="1" applyAlignment="1">
      <alignment vertical="center"/>
    </xf>
    <xf numFmtId="164" fontId="51" fillId="0" borderId="1" xfId="1" applyNumberFormat="1" applyFont="1" applyBorder="1" applyAlignment="1">
      <alignment vertical="center"/>
    </xf>
    <xf numFmtId="3" fontId="54" fillId="0" borderId="1" xfId="0" applyNumberFormat="1" applyFont="1" applyFill="1" applyBorder="1" applyAlignment="1">
      <alignment horizontal="right" vertical="center"/>
    </xf>
    <xf numFmtId="0" fontId="48" fillId="14" borderId="1" xfId="0" applyFont="1" applyFill="1" applyBorder="1" applyAlignment="1">
      <alignment vertical="center"/>
    </xf>
    <xf numFmtId="0" fontId="48" fillId="14" borderId="1" xfId="0" applyFont="1" applyFill="1" applyBorder="1" applyAlignment="1">
      <alignment horizontal="center" vertical="center"/>
    </xf>
    <xf numFmtId="164" fontId="48" fillId="14" borderId="1" xfId="1" applyNumberFormat="1" applyFont="1" applyFill="1" applyBorder="1"/>
    <xf numFmtId="3" fontId="48" fillId="14" borderId="1" xfId="0" applyNumberFormat="1" applyFont="1" applyFill="1" applyBorder="1" applyAlignment="1">
      <alignment vertical="center"/>
    </xf>
    <xf numFmtId="164" fontId="51" fillId="14" borderId="1" xfId="0" applyNumberFormat="1" applyFont="1" applyFill="1" applyBorder="1" applyAlignment="1">
      <alignment vertical="center"/>
    </xf>
    <xf numFmtId="0" fontId="51" fillId="14" borderId="1" xfId="0" applyFont="1" applyFill="1" applyBorder="1" applyAlignment="1">
      <alignment vertical="center"/>
    </xf>
    <xf numFmtId="164" fontId="53" fillId="14" borderId="1" xfId="1" applyNumberFormat="1" applyFont="1" applyFill="1" applyBorder="1" applyAlignment="1">
      <alignment vertical="center"/>
    </xf>
    <xf numFmtId="3" fontId="51" fillId="14" borderId="1" xfId="0" applyNumberFormat="1" applyFont="1" applyFill="1" applyBorder="1" applyAlignment="1">
      <alignment vertical="center"/>
    </xf>
    <xf numFmtId="3" fontId="48" fillId="14" borderId="1" xfId="0" applyNumberFormat="1" applyFont="1" applyFill="1" applyBorder="1" applyAlignment="1">
      <alignment horizontal="center" vertical="center"/>
    </xf>
    <xf numFmtId="9" fontId="48" fillId="14" borderId="1" xfId="4" applyFont="1" applyFill="1" applyBorder="1" applyAlignment="1">
      <alignment horizontal="center"/>
    </xf>
    <xf numFmtId="164" fontId="48" fillId="14" borderId="1" xfId="1" applyNumberFormat="1" applyFont="1" applyFill="1" applyBorder="1" applyAlignment="1">
      <alignment horizontal="center"/>
    </xf>
    <xf numFmtId="164" fontId="48" fillId="14" borderId="1" xfId="1" applyNumberFormat="1" applyFont="1" applyFill="1" applyBorder="1" applyAlignment="1">
      <alignment vertical="center"/>
    </xf>
    <xf numFmtId="164" fontId="48" fillId="14" borderId="1" xfId="1" applyNumberFormat="1" applyFont="1" applyFill="1" applyBorder="1" applyAlignment="1">
      <alignment horizontal="right"/>
    </xf>
    <xf numFmtId="164" fontId="51" fillId="14" borderId="1" xfId="1" applyNumberFormat="1" applyFont="1" applyFill="1" applyBorder="1" applyAlignment="1">
      <alignment horizontal="right" vertical="center"/>
    </xf>
    <xf numFmtId="164" fontId="51" fillId="14" borderId="1" xfId="1" applyNumberFormat="1" applyFont="1" applyFill="1" applyBorder="1" applyAlignment="1">
      <alignment vertical="center"/>
    </xf>
    <xf numFmtId="3" fontId="54" fillId="10" borderId="1" xfId="0" applyNumberFormat="1" applyFont="1" applyFill="1" applyBorder="1" applyAlignment="1">
      <alignment horizontal="right"/>
    </xf>
    <xf numFmtId="164" fontId="48" fillId="0" borderId="1" xfId="4" applyNumberFormat="1" applyFont="1" applyBorder="1" applyAlignment="1">
      <alignment horizontal="center"/>
    </xf>
    <xf numFmtId="10" fontId="48" fillId="15" borderId="1" xfId="4" applyNumberFormat="1" applyFont="1" applyFill="1" applyBorder="1"/>
    <xf numFmtId="3" fontId="48" fillId="0" borderId="1" xfId="0" applyNumberFormat="1" applyFont="1" applyBorder="1"/>
    <xf numFmtId="10" fontId="48" fillId="0" borderId="1" xfId="0" applyNumberFormat="1" applyFont="1" applyBorder="1"/>
    <xf numFmtId="10" fontId="48" fillId="0" borderId="1" xfId="4" applyNumberFormat="1" applyFont="1" applyBorder="1"/>
    <xf numFmtId="3" fontId="48" fillId="0" borderId="5" xfId="0" applyNumberFormat="1" applyFont="1" applyBorder="1"/>
    <xf numFmtId="3" fontId="14" fillId="0" borderId="1" xfId="0" applyNumberFormat="1" applyFont="1" applyFill="1" applyBorder="1" applyAlignment="1">
      <alignment vertical="center"/>
    </xf>
    <xf numFmtId="164" fontId="11" fillId="0" borderId="1" xfId="1" applyNumberFormat="1" applyFont="1" applyFill="1" applyBorder="1" applyAlignment="1">
      <alignment vertical="center"/>
    </xf>
    <xf numFmtId="164" fontId="12" fillId="0" borderId="1" xfId="1" applyNumberFormat="1" applyFont="1" applyBorder="1" applyAlignment="1">
      <alignment vertical="center"/>
    </xf>
    <xf numFmtId="0" fontId="13" fillId="14" borderId="1" xfId="0" applyFont="1" applyFill="1" applyBorder="1" applyAlignment="1">
      <alignment vertical="center"/>
    </xf>
    <xf numFmtId="9" fontId="8" fillId="14" borderId="1" xfId="4" applyFont="1" applyFill="1" applyBorder="1" applyAlignment="1">
      <alignment vertical="center"/>
    </xf>
    <xf numFmtId="0" fontId="19" fillId="14" borderId="1" xfId="0" applyFont="1" applyFill="1" applyBorder="1" applyAlignment="1">
      <alignment vertical="center"/>
    </xf>
    <xf numFmtId="37" fontId="11" fillId="0" borderId="1" xfId="1" applyNumberFormat="1" applyFont="1" applyBorder="1" applyAlignment="1">
      <alignment vertical="center"/>
    </xf>
    <xf numFmtId="37" fontId="11" fillId="0" borderId="1" xfId="1" applyNumberFormat="1" applyFont="1" applyFill="1" applyBorder="1" applyAlignment="1">
      <alignment vertical="center"/>
    </xf>
    <xf numFmtId="3" fontId="11" fillId="0" borderId="1" xfId="1" applyNumberFormat="1" applyFont="1" applyBorder="1" applyAlignment="1">
      <alignment vertical="center"/>
    </xf>
    <xf numFmtId="164" fontId="11" fillId="0" borderId="1" xfId="1" applyNumberFormat="1" applyFont="1" applyBorder="1" applyAlignment="1">
      <alignment horizontal="right" vertical="center"/>
    </xf>
    <xf numFmtId="3" fontId="19" fillId="14" borderId="1" xfId="0" applyNumberFormat="1" applyFont="1" applyFill="1" applyBorder="1" applyAlignment="1">
      <alignment vertical="center"/>
    </xf>
    <xf numFmtId="0" fontId="51" fillId="14" borderId="1" xfId="0" applyFont="1" applyFill="1" applyBorder="1" applyAlignment="1">
      <alignment horizontal="center" vertical="center"/>
    </xf>
    <xf numFmtId="164" fontId="11" fillId="3" borderId="1" xfId="1" applyNumberFormat="1" applyFont="1" applyFill="1" applyBorder="1" applyAlignment="1">
      <alignment vertical="center"/>
    </xf>
    <xf numFmtId="164" fontId="48" fillId="12" borderId="1" xfId="1" applyNumberFormat="1" applyFont="1" applyFill="1" applyBorder="1" applyAlignment="1">
      <alignment vertical="center"/>
    </xf>
    <xf numFmtId="164" fontId="11" fillId="13" borderId="1" xfId="1" applyNumberFormat="1" applyFont="1" applyFill="1" applyBorder="1" applyAlignment="1">
      <alignment vertical="center"/>
    </xf>
    <xf numFmtId="164" fontId="11" fillId="10" borderId="1" xfId="1" applyNumberFormat="1" applyFont="1" applyFill="1" applyBorder="1" applyAlignment="1">
      <alignment vertical="center"/>
    </xf>
    <xf numFmtId="164" fontId="25" fillId="0" borderId="0" xfId="1" applyNumberFormat="1" applyFont="1" applyBorder="1"/>
    <xf numFmtId="164" fontId="25" fillId="0" borderId="0" xfId="1" applyNumberFormat="1" applyFont="1" applyFill="1" applyBorder="1"/>
    <xf numFmtId="0" fontId="22" fillId="19" borderId="0" xfId="0" applyFont="1" applyFill="1" applyBorder="1" applyAlignment="1">
      <alignment horizontal="center" wrapText="1"/>
    </xf>
    <xf numFmtId="15" fontId="3" fillId="0" borderId="0" xfId="0" applyNumberFormat="1" applyFont="1" applyFill="1" applyBorder="1" applyAlignment="1">
      <alignment horizontal="center"/>
    </xf>
    <xf numFmtId="164" fontId="6" fillId="0" borderId="0" xfId="0" applyNumberFormat="1" applyFont="1"/>
    <xf numFmtId="0" fontId="30" fillId="28" borderId="2" xfId="0" applyFont="1" applyFill="1" applyBorder="1"/>
    <xf numFmtId="3" fontId="30" fillId="28" borderId="0" xfId="0" applyNumberFormat="1" applyFont="1" applyFill="1" applyBorder="1"/>
    <xf numFmtId="3" fontId="30" fillId="28" borderId="12" xfId="0" applyNumberFormat="1" applyFont="1" applyFill="1" applyBorder="1"/>
    <xf numFmtId="0" fontId="29" fillId="28" borderId="13" xfId="0" applyFont="1" applyFill="1" applyBorder="1" applyAlignment="1">
      <alignment wrapText="1"/>
    </xf>
    <xf numFmtId="37" fontId="11" fillId="0" borderId="1" xfId="0" applyNumberFormat="1" applyFont="1" applyBorder="1" applyAlignment="1">
      <alignment vertical="center"/>
    </xf>
    <xf numFmtId="37" fontId="11" fillId="6" borderId="1" xfId="0" applyNumberFormat="1" applyFont="1" applyFill="1" applyBorder="1" applyAlignment="1">
      <alignment vertical="center"/>
    </xf>
    <xf numFmtId="37" fontId="11" fillId="0" borderId="1" xfId="0" applyNumberFormat="1" applyFont="1" applyFill="1" applyBorder="1" applyAlignment="1">
      <alignment vertical="center"/>
    </xf>
    <xf numFmtId="37" fontId="11" fillId="12" borderId="1" xfId="0" applyNumberFormat="1" applyFont="1" applyFill="1" applyBorder="1" applyAlignment="1">
      <alignment vertical="center"/>
    </xf>
    <xf numFmtId="37" fontId="48" fillId="12" borderId="1" xfId="0" applyNumberFormat="1" applyFont="1" applyFill="1" applyBorder="1" applyAlignment="1">
      <alignment vertical="center"/>
    </xf>
    <xf numFmtId="3" fontId="11" fillId="0" borderId="2" xfId="0" applyNumberFormat="1" applyFont="1" applyFill="1" applyBorder="1" applyAlignment="1">
      <alignment horizontal="center" vertical="center"/>
    </xf>
    <xf numFmtId="0" fontId="13" fillId="0" borderId="2" xfId="0" applyFont="1" applyFill="1" applyBorder="1" applyAlignment="1">
      <alignment vertical="center"/>
    </xf>
    <xf numFmtId="3" fontId="11" fillId="0" borderId="2" xfId="0" applyNumberFormat="1" applyFont="1" applyFill="1" applyBorder="1" applyAlignment="1">
      <alignment vertical="center"/>
    </xf>
    <xf numFmtId="3" fontId="12" fillId="0" borderId="2" xfId="0" applyNumberFormat="1" applyFont="1" applyFill="1" applyBorder="1" applyAlignment="1">
      <alignment vertical="center"/>
    </xf>
    <xf numFmtId="3" fontId="12" fillId="0" borderId="2" xfId="0" applyNumberFormat="1" applyFont="1" applyFill="1" applyBorder="1" applyAlignment="1">
      <alignment horizontal="right" vertical="center"/>
    </xf>
    <xf numFmtId="3" fontId="15" fillId="0" borderId="2" xfId="0" applyNumberFormat="1" applyFont="1" applyFill="1" applyBorder="1" applyAlignment="1">
      <alignment horizontal="right" vertical="center"/>
    </xf>
    <xf numFmtId="0" fontId="11" fillId="9" borderId="1" xfId="0" applyFont="1" applyFill="1" applyBorder="1" applyAlignment="1">
      <alignment vertical="center"/>
    </xf>
    <xf numFmtId="164" fontId="48" fillId="9" borderId="1" xfId="1" applyNumberFormat="1" applyFont="1" applyFill="1" applyBorder="1" applyAlignment="1">
      <alignment horizontal="right"/>
    </xf>
    <xf numFmtId="37" fontId="11" fillId="9" borderId="1" xfId="1" applyNumberFormat="1" applyFont="1" applyFill="1" applyBorder="1" applyAlignment="1">
      <alignment horizontal="right" vertical="center"/>
    </xf>
    <xf numFmtId="3" fontId="48" fillId="9" borderId="1" xfId="1" applyNumberFormat="1" applyFont="1" applyFill="1" applyBorder="1" applyAlignment="1">
      <alignment vertical="center"/>
    </xf>
    <xf numFmtId="37" fontId="11" fillId="9" borderId="1" xfId="1" applyNumberFormat="1" applyFont="1" applyFill="1" applyBorder="1" applyAlignment="1">
      <alignment horizontal="right"/>
    </xf>
    <xf numFmtId="1" fontId="55" fillId="9" borderId="1" xfId="4" applyNumberFormat="1" applyFont="1" applyFill="1" applyBorder="1" applyAlignment="1">
      <alignment horizontal="right"/>
    </xf>
    <xf numFmtId="0" fontId="12" fillId="16" borderId="19" xfId="0" applyFont="1" applyFill="1" applyBorder="1" applyAlignment="1">
      <alignment vertical="center"/>
    </xf>
    <xf numFmtId="3" fontId="51" fillId="12" borderId="1" xfId="0" applyNumberFormat="1" applyFont="1" applyFill="1" applyBorder="1" applyAlignment="1">
      <alignment horizontal="center"/>
    </xf>
    <xf numFmtId="1" fontId="48" fillId="12" borderId="1" xfId="0" applyNumberFormat="1" applyFont="1" applyFill="1" applyBorder="1" applyAlignment="1">
      <alignment vertical="center"/>
    </xf>
    <xf numFmtId="37" fontId="48" fillId="12" borderId="1" xfId="1" applyNumberFormat="1" applyFont="1" applyFill="1" applyBorder="1"/>
    <xf numFmtId="1" fontId="48" fillId="12" borderId="1" xfId="4" applyNumberFormat="1" applyFont="1" applyFill="1" applyBorder="1" applyAlignment="1">
      <alignment horizontal="right"/>
    </xf>
    <xf numFmtId="3" fontId="12" fillId="2" borderId="1" xfId="0" applyNumberFormat="1" applyFont="1" applyFill="1" applyBorder="1" applyAlignment="1">
      <alignment horizontal="center" vertical="center"/>
    </xf>
    <xf numFmtId="0" fontId="48" fillId="0" borderId="1" xfId="0" applyFont="1" applyFill="1" applyBorder="1" applyAlignment="1">
      <alignment vertical="center"/>
    </xf>
    <xf numFmtId="37" fontId="48" fillId="0" borderId="1" xfId="1" applyNumberFormat="1" applyFont="1" applyFill="1" applyBorder="1" applyAlignment="1">
      <alignment horizontal="right"/>
    </xf>
    <xf numFmtId="3" fontId="51" fillId="2" borderId="1" xfId="0" applyNumberFormat="1" applyFont="1" applyFill="1" applyBorder="1" applyAlignment="1">
      <alignment horizontal="center"/>
    </xf>
    <xf numFmtId="0" fontId="48" fillId="0" borderId="1" xfId="4" applyNumberFormat="1" applyFont="1" applyBorder="1" applyAlignment="1">
      <alignment horizontal="right"/>
    </xf>
    <xf numFmtId="3" fontId="51" fillId="0" borderId="1" xfId="0" applyNumberFormat="1" applyFont="1" applyFill="1" applyBorder="1" applyAlignment="1">
      <alignment horizontal="center" vertical="center"/>
    </xf>
    <xf numFmtId="0" fontId="48" fillId="0" borderId="1" xfId="0" applyFont="1" applyFill="1" applyBorder="1" applyAlignment="1">
      <alignment horizontal="center" vertical="center"/>
    </xf>
    <xf numFmtId="1" fontId="48" fillId="0" borderId="1" xfId="4" applyNumberFormat="1" applyFont="1" applyFill="1" applyBorder="1" applyAlignment="1">
      <alignment horizontal="right"/>
    </xf>
    <xf numFmtId="3" fontId="56" fillId="0" borderId="1" xfId="0" applyNumberFormat="1" applyFont="1" applyFill="1" applyBorder="1" applyAlignment="1">
      <alignment horizontal="right" vertical="top" wrapText="1" readingOrder="1"/>
    </xf>
    <xf numFmtId="164" fontId="48" fillId="0" borderId="1" xfId="1" applyNumberFormat="1" applyFont="1" applyFill="1" applyBorder="1"/>
    <xf numFmtId="3" fontId="48" fillId="0" borderId="1" xfId="0" applyNumberFormat="1" applyFont="1" applyFill="1" applyBorder="1" applyAlignment="1">
      <alignment vertical="center"/>
    </xf>
    <xf numFmtId="164" fontId="51" fillId="0" borderId="1" xfId="0" applyNumberFormat="1" applyFont="1" applyFill="1" applyBorder="1" applyAlignment="1">
      <alignment vertical="center"/>
    </xf>
    <xf numFmtId="0" fontId="51" fillId="0" borderId="1" xfId="0" applyFont="1" applyFill="1" applyBorder="1" applyAlignment="1">
      <alignment vertical="center"/>
    </xf>
    <xf numFmtId="9" fontId="48" fillId="0" borderId="1" xfId="4" applyFont="1" applyFill="1" applyBorder="1" applyAlignment="1">
      <alignment horizontal="center"/>
    </xf>
    <xf numFmtId="164" fontId="48" fillId="0" borderId="1" xfId="1" applyNumberFormat="1" applyFont="1" applyFill="1" applyBorder="1" applyAlignment="1">
      <alignment horizontal="right"/>
    </xf>
    <xf numFmtId="164" fontId="51" fillId="0" borderId="1" xfId="1" applyNumberFormat="1" applyFont="1" applyFill="1" applyBorder="1" applyAlignment="1">
      <alignment horizontal="right" vertical="center"/>
    </xf>
    <xf numFmtId="9" fontId="6" fillId="16" borderId="19" xfId="4" applyFont="1" applyFill="1" applyBorder="1" applyAlignment="1">
      <alignment horizontal="center"/>
    </xf>
    <xf numFmtId="3" fontId="21" fillId="8" borderId="1" xfId="0" applyNumberFormat="1" applyFont="1" applyFill="1" applyBorder="1" applyAlignment="1">
      <alignment horizontal="center"/>
    </xf>
    <xf numFmtId="3" fontId="12" fillId="0" borderId="1" xfId="0" applyNumberFormat="1" applyFont="1" applyFill="1" applyBorder="1" applyAlignment="1">
      <alignment horizontal="center"/>
    </xf>
    <xf numFmtId="3" fontId="48" fillId="0" borderId="1" xfId="4" applyNumberFormat="1" applyFont="1" applyFill="1" applyBorder="1" applyAlignment="1">
      <alignment horizontal="right"/>
    </xf>
    <xf numFmtId="0" fontId="48" fillId="0" borderId="1" xfId="4" applyNumberFormat="1" applyFont="1" applyFill="1" applyBorder="1" applyAlignment="1">
      <alignment horizontal="right"/>
    </xf>
    <xf numFmtId="164" fontId="49" fillId="0" borderId="1" xfId="1" applyNumberFormat="1" applyFont="1" applyFill="1" applyBorder="1" applyAlignment="1">
      <alignment horizontal="right"/>
    </xf>
    <xf numFmtId="37" fontId="11" fillId="0" borderId="1" xfId="1" applyNumberFormat="1" applyFont="1" applyFill="1" applyBorder="1" applyAlignment="1">
      <alignment horizontal="right" vertical="center"/>
    </xf>
    <xf numFmtId="9" fontId="13" fillId="0" borderId="1" xfId="4" applyFont="1" applyFill="1" applyBorder="1" applyAlignment="1">
      <alignment horizontal="center" vertical="center"/>
    </xf>
    <xf numFmtId="3" fontId="48" fillId="0" borderId="1" xfId="4" applyNumberFormat="1" applyFont="1" applyFill="1" applyBorder="1" applyAlignment="1">
      <alignment horizontal="right" vertical="center"/>
    </xf>
    <xf numFmtId="3" fontId="48" fillId="0" borderId="1" xfId="1" applyNumberFormat="1" applyFont="1" applyFill="1" applyBorder="1" applyAlignment="1">
      <alignment vertical="center"/>
    </xf>
    <xf numFmtId="3" fontId="11" fillId="0" borderId="1" xfId="4" applyNumberFormat="1" applyFont="1" applyFill="1" applyBorder="1" applyAlignment="1">
      <alignment horizontal="right" vertical="center"/>
    </xf>
    <xf numFmtId="37" fontId="11" fillId="0" borderId="1" xfId="1" applyNumberFormat="1" applyFont="1" applyFill="1" applyBorder="1" applyAlignment="1">
      <alignment horizontal="right"/>
    </xf>
    <xf numFmtId="164" fontId="11" fillId="0" borderId="1" xfId="1" applyNumberFormat="1" applyFont="1" applyFill="1" applyBorder="1" applyAlignment="1">
      <alignment horizontal="right"/>
    </xf>
    <xf numFmtId="1" fontId="55" fillId="0" borderId="1" xfId="4" applyNumberFormat="1" applyFont="1" applyFill="1" applyBorder="1" applyAlignment="1">
      <alignment horizontal="right"/>
    </xf>
    <xf numFmtId="3" fontId="51" fillId="0" borderId="1" xfId="0" applyNumberFormat="1" applyFont="1" applyFill="1" applyBorder="1" applyAlignment="1">
      <alignment horizontal="center"/>
    </xf>
    <xf numFmtId="0" fontId="52" fillId="0" borderId="1" xfId="0" applyFont="1" applyFill="1" applyBorder="1" applyAlignment="1">
      <alignment vertical="center"/>
    </xf>
    <xf numFmtId="1" fontId="48" fillId="0" borderId="1" xfId="0" applyNumberFormat="1" applyFont="1" applyFill="1" applyBorder="1" applyAlignment="1">
      <alignment vertical="center"/>
    </xf>
    <xf numFmtId="37" fontId="48" fillId="0" borderId="1" xfId="0" applyNumberFormat="1" applyFont="1" applyFill="1" applyBorder="1" applyAlignment="1">
      <alignment vertical="center"/>
    </xf>
    <xf numFmtId="164" fontId="51" fillId="0" borderId="1" xfId="1" applyNumberFormat="1" applyFont="1" applyFill="1" applyBorder="1"/>
    <xf numFmtId="3" fontId="52" fillId="0" borderId="1" xfId="0" applyNumberFormat="1" applyFont="1" applyFill="1" applyBorder="1" applyAlignment="1">
      <alignment vertical="center"/>
    </xf>
    <xf numFmtId="3" fontId="48" fillId="0" borderId="1" xfId="0" applyNumberFormat="1" applyFont="1" applyFill="1" applyBorder="1"/>
    <xf numFmtId="37" fontId="48" fillId="0" borderId="1" xfId="1" applyNumberFormat="1" applyFont="1" applyFill="1" applyBorder="1"/>
    <xf numFmtId="0" fontId="48" fillId="0" borderId="1" xfId="0" applyFont="1" applyFill="1" applyBorder="1"/>
    <xf numFmtId="41" fontId="48" fillId="0" borderId="1" xfId="5" applyNumberFormat="1" applyFont="1" applyFill="1" applyBorder="1" applyAlignment="1">
      <alignment vertical="center"/>
    </xf>
    <xf numFmtId="0" fontId="57" fillId="0" borderId="0" xfId="0" applyFont="1"/>
    <xf numFmtId="37" fontId="6" fillId="0" borderId="0" xfId="0" applyNumberFormat="1" applyFont="1"/>
    <xf numFmtId="0" fontId="22" fillId="0" borderId="0" xfId="0" applyFont="1" applyFill="1" applyBorder="1" applyAlignment="1">
      <alignment horizontal="center" wrapText="1"/>
    </xf>
    <xf numFmtId="3" fontId="1" fillId="0" borderId="0" xfId="0" applyNumberFormat="1" applyFont="1" applyFill="1" applyBorder="1"/>
    <xf numFmtId="0" fontId="2" fillId="0" borderId="0" xfId="0" applyFont="1" applyFill="1"/>
    <xf numFmtId="0" fontId="24" fillId="0" borderId="0" xfId="0" applyFont="1" applyFill="1"/>
    <xf numFmtId="0" fontId="57" fillId="0" borderId="0" xfId="0" applyFont="1" applyFill="1"/>
    <xf numFmtId="3" fontId="51" fillId="13" borderId="1" xfId="0" applyNumberFormat="1" applyFont="1" applyFill="1" applyBorder="1" applyAlignment="1">
      <alignment horizontal="center" vertical="center"/>
    </xf>
    <xf numFmtId="164" fontId="48" fillId="13" borderId="1" xfId="1" applyNumberFormat="1" applyFont="1" applyFill="1" applyBorder="1" applyAlignment="1">
      <alignment horizontal="center"/>
    </xf>
    <xf numFmtId="3" fontId="51" fillId="14" borderId="1" xfId="0" applyNumberFormat="1" applyFont="1" applyFill="1" applyBorder="1" applyAlignment="1">
      <alignment horizontal="center" vertical="center"/>
    </xf>
    <xf numFmtId="1" fontId="48" fillId="14" borderId="1" xfId="4" applyNumberFormat="1" applyFont="1" applyFill="1" applyBorder="1" applyAlignment="1">
      <alignment horizontal="right"/>
    </xf>
    <xf numFmtId="3" fontId="56" fillId="14" borderId="1" xfId="0" applyNumberFormat="1" applyFont="1" applyFill="1" applyBorder="1" applyAlignment="1">
      <alignment horizontal="right" vertical="top" wrapText="1" readingOrder="1"/>
    </xf>
    <xf numFmtId="0" fontId="10" fillId="0" borderId="0" xfId="0" applyFont="1" applyAlignment="1">
      <alignment horizontal="right"/>
    </xf>
    <xf numFmtId="0" fontId="10" fillId="0" borderId="0" xfId="0" applyFont="1" applyAlignment="1">
      <alignment horizontal="left"/>
    </xf>
    <xf numFmtId="164" fontId="10" fillId="0" borderId="0" xfId="1" applyNumberFormat="1" applyFont="1"/>
    <xf numFmtId="1" fontId="10" fillId="0" borderId="0" xfId="0" applyNumberFormat="1" applyFont="1" applyAlignment="1">
      <alignment horizontal="left"/>
    </xf>
    <xf numFmtId="0" fontId="10" fillId="0" borderId="0" xfId="0" applyNumberFormat="1" applyFont="1" applyAlignment="1">
      <alignment horizontal="left"/>
    </xf>
    <xf numFmtId="3" fontId="10" fillId="0" borderId="0" xfId="0" applyNumberFormat="1" applyFont="1"/>
    <xf numFmtId="3" fontId="62" fillId="0" borderId="0" xfId="0" applyNumberFormat="1" applyFont="1"/>
    <xf numFmtId="0" fontId="28" fillId="20" borderId="12" xfId="0" applyFont="1" applyFill="1" applyBorder="1" applyAlignment="1">
      <alignment horizontal="center"/>
    </xf>
    <xf numFmtId="0" fontId="12" fillId="0" borderId="2" xfId="0" applyFont="1" applyBorder="1" applyAlignment="1">
      <alignment horizontal="center"/>
    </xf>
    <xf numFmtId="0" fontId="11" fillId="10" borderId="2" xfId="0" applyFont="1" applyFill="1" applyBorder="1" applyAlignment="1">
      <alignment horizontal="center" vertical="center"/>
    </xf>
    <xf numFmtId="4" fontId="11" fillId="0" borderId="2" xfId="0" applyNumberFormat="1" applyFont="1" applyBorder="1" applyAlignment="1">
      <alignment vertical="center"/>
    </xf>
    <xf numFmtId="3" fontId="16" fillId="0" borderId="4" xfId="0" applyNumberFormat="1" applyFont="1" applyFill="1" applyBorder="1" applyAlignment="1">
      <alignment horizontal="right" vertical="center"/>
    </xf>
    <xf numFmtId="0" fontId="12" fillId="2" borderId="2" xfId="0" applyFont="1" applyFill="1" applyBorder="1" applyAlignment="1">
      <alignment horizontal="center" vertical="center"/>
    </xf>
    <xf numFmtId="0" fontId="18" fillId="0" borderId="2" xfId="0" applyFont="1" applyBorder="1" applyAlignment="1">
      <alignment vertical="center"/>
    </xf>
    <xf numFmtId="3" fontId="18" fillId="0" borderId="2" xfId="0" applyNumberFormat="1" applyFont="1" applyBorder="1" applyAlignment="1">
      <alignment vertical="center"/>
    </xf>
    <xf numFmtId="0" fontId="11" fillId="0" borderId="2" xfId="0" applyFont="1" applyFill="1" applyBorder="1" applyAlignment="1">
      <alignment vertical="center"/>
    </xf>
    <xf numFmtId="0" fontId="19" fillId="0" borderId="2" xfId="0" applyFont="1" applyBorder="1" applyAlignment="1">
      <alignment vertical="center"/>
    </xf>
    <xf numFmtId="3" fontId="19" fillId="0" borderId="2" xfId="0" applyNumberFormat="1" applyFont="1" applyBorder="1" applyAlignment="1">
      <alignment vertical="center"/>
    </xf>
    <xf numFmtId="3" fontId="16" fillId="0" borderId="2" xfId="0" applyNumberFormat="1" applyFont="1" applyFill="1" applyBorder="1" applyAlignment="1">
      <alignment horizontal="right" vertical="center"/>
    </xf>
    <xf numFmtId="9" fontId="8" fillId="0" borderId="2" xfId="4" applyFont="1" applyFill="1" applyBorder="1" applyAlignment="1">
      <alignment vertical="center"/>
    </xf>
    <xf numFmtId="0" fontId="19" fillId="0" borderId="2" xfId="0" applyFont="1" applyFill="1" applyBorder="1" applyAlignment="1">
      <alignment vertical="center"/>
    </xf>
    <xf numFmtId="3" fontId="19" fillId="0" borderId="2" xfId="0" applyNumberFormat="1" applyFont="1" applyFill="1" applyBorder="1" applyAlignment="1">
      <alignment vertical="center"/>
    </xf>
    <xf numFmtId="3" fontId="16" fillId="0" borderId="2" xfId="0" applyNumberFormat="1" applyFont="1" applyFill="1" applyBorder="1" applyAlignment="1">
      <alignment horizontal="right"/>
    </xf>
    <xf numFmtId="10" fontId="11" fillId="15" borderId="2" xfId="0" applyNumberFormat="1" applyFont="1" applyFill="1" applyBorder="1"/>
    <xf numFmtId="10" fontId="11" fillId="0" borderId="2" xfId="0" applyNumberFormat="1" applyFont="1" applyBorder="1"/>
    <xf numFmtId="3" fontId="11" fillId="0" borderId="4" xfId="0" applyNumberFormat="1" applyFont="1" applyBorder="1"/>
    <xf numFmtId="9" fontId="8" fillId="11" borderId="3" xfId="4" applyFont="1" applyFill="1" applyBorder="1" applyAlignment="1">
      <alignment vertical="center"/>
    </xf>
    <xf numFmtId="3" fontId="16" fillId="0" borderId="9" xfId="0" applyNumberFormat="1" applyFont="1" applyFill="1" applyBorder="1" applyAlignment="1">
      <alignment horizontal="right" vertical="center"/>
    </xf>
    <xf numFmtId="10" fontId="11" fillId="16" borderId="19" xfId="0" applyNumberFormat="1" applyFont="1" applyFill="1" applyBorder="1" applyAlignment="1">
      <alignment vertical="center"/>
    </xf>
    <xf numFmtId="10" fontId="11" fillId="16" borderId="19" xfId="0" applyNumberFormat="1" applyFont="1" applyFill="1" applyBorder="1"/>
    <xf numFmtId="0" fontId="6" fillId="0" borderId="1" xfId="0" applyFont="1" applyBorder="1"/>
    <xf numFmtId="0" fontId="12" fillId="13" borderId="3" xfId="0" applyFont="1" applyFill="1" applyBorder="1" applyAlignment="1">
      <alignment horizontal="center" vertical="center"/>
    </xf>
    <xf numFmtId="3" fontId="11" fillId="13" borderId="3" xfId="0" applyNumberFormat="1" applyFont="1" applyFill="1" applyBorder="1" applyAlignment="1">
      <alignment horizontal="center" vertical="center"/>
    </xf>
    <xf numFmtId="3" fontId="11" fillId="13" borderId="3" xfId="0" applyNumberFormat="1" applyFont="1" applyFill="1" applyBorder="1" applyAlignment="1">
      <alignment vertical="center"/>
    </xf>
    <xf numFmtId="3" fontId="12" fillId="13" borderId="3" xfId="0" applyNumberFormat="1" applyFont="1" applyFill="1" applyBorder="1" applyAlignment="1">
      <alignment vertical="center"/>
    </xf>
    <xf numFmtId="3" fontId="11" fillId="0" borderId="0" xfId="0" applyNumberFormat="1" applyFont="1" applyBorder="1" applyAlignment="1">
      <alignment vertical="center"/>
    </xf>
    <xf numFmtId="3" fontId="13" fillId="0" borderId="0" xfId="0" applyNumberFormat="1" applyFont="1" applyBorder="1" applyAlignment="1">
      <alignment vertical="center"/>
    </xf>
    <xf numFmtId="3" fontId="11" fillId="14" borderId="0" xfId="0" applyNumberFormat="1" applyFont="1" applyFill="1" applyBorder="1" applyAlignment="1">
      <alignment vertical="center"/>
    </xf>
    <xf numFmtId="0" fontId="11" fillId="16" borderId="19" xfId="0" applyFont="1" applyFill="1" applyBorder="1"/>
    <xf numFmtId="0" fontId="15" fillId="16" borderId="19" xfId="0" applyFont="1" applyFill="1" applyBorder="1"/>
    <xf numFmtId="0" fontId="12" fillId="7" borderId="1" xfId="0" applyFont="1" applyFill="1" applyBorder="1" applyAlignment="1">
      <alignment horizontal="center"/>
    </xf>
    <xf numFmtId="0" fontId="11" fillId="7" borderId="1" xfId="0" applyFont="1" applyFill="1" applyBorder="1" applyAlignment="1">
      <alignment vertical="center"/>
    </xf>
    <xf numFmtId="0" fontId="13" fillId="13" borderId="3" xfId="0" applyFont="1" applyFill="1" applyBorder="1" applyAlignment="1">
      <alignment vertical="center"/>
    </xf>
    <xf numFmtId="0" fontId="11" fillId="13" borderId="3" xfId="0" applyFont="1" applyFill="1" applyBorder="1" applyAlignment="1">
      <alignment vertical="center"/>
    </xf>
    <xf numFmtId="3" fontId="13" fillId="13" borderId="3" xfId="0" applyNumberFormat="1" applyFont="1" applyFill="1" applyBorder="1" applyAlignment="1">
      <alignment vertical="center"/>
    </xf>
    <xf numFmtId="164" fontId="11" fillId="13" borderId="3" xfId="1" applyNumberFormat="1" applyFont="1" applyFill="1" applyBorder="1" applyAlignment="1">
      <alignment vertical="center"/>
    </xf>
    <xf numFmtId="164" fontId="48" fillId="0" borderId="1" xfId="1" applyNumberFormat="1" applyFont="1" applyBorder="1"/>
    <xf numFmtId="3" fontId="11" fillId="0" borderId="0" xfId="0" applyNumberFormat="1" applyFont="1" applyFill="1" applyBorder="1" applyAlignment="1">
      <alignment horizontal="center" vertical="center"/>
    </xf>
    <xf numFmtId="3" fontId="11" fillId="0" borderId="0" xfId="0" applyNumberFormat="1" applyFont="1" applyFill="1" applyBorder="1" applyAlignment="1">
      <alignment vertical="center"/>
    </xf>
    <xf numFmtId="164" fontId="48" fillId="0" borderId="0" xfId="1" applyNumberFormat="1" applyFont="1" applyFill="1" applyBorder="1" applyAlignment="1">
      <alignment horizontal="right"/>
    </xf>
    <xf numFmtId="3" fontId="12" fillId="0" borderId="0" xfId="0" applyNumberFormat="1" applyFont="1" applyFill="1" applyBorder="1" applyAlignment="1">
      <alignment vertical="center"/>
    </xf>
    <xf numFmtId="9" fontId="8" fillId="11" borderId="0" xfId="4" applyFont="1" applyFill="1" applyBorder="1" applyAlignment="1">
      <alignment vertical="center"/>
    </xf>
    <xf numFmtId="9" fontId="6" fillId="0" borderId="1" xfId="4" applyFont="1" applyBorder="1"/>
    <xf numFmtId="164" fontId="48" fillId="0" borderId="1" xfId="1" applyNumberFormat="1" applyFont="1" applyFill="1" applyBorder="1" applyAlignment="1">
      <alignment horizontal="right" vertical="center"/>
    </xf>
    <xf numFmtId="0" fontId="12" fillId="16" borderId="2" xfId="0" applyFont="1" applyFill="1" applyBorder="1" applyAlignment="1">
      <alignment vertical="center"/>
    </xf>
    <xf numFmtId="0" fontId="12" fillId="16" borderId="1" xfId="0" applyFont="1" applyFill="1" applyBorder="1" applyAlignment="1">
      <alignment vertical="center"/>
    </xf>
    <xf numFmtId="9" fontId="6" fillId="16" borderId="19" xfId="4" applyFont="1" applyFill="1" applyBorder="1"/>
    <xf numFmtId="0" fontId="0" fillId="16" borderId="19" xfId="0" applyFill="1" applyBorder="1"/>
    <xf numFmtId="0" fontId="0" fillId="16" borderId="7" xfId="0" applyFill="1" applyBorder="1"/>
    <xf numFmtId="0" fontId="15" fillId="0" borderId="2" xfId="0" applyFont="1" applyFill="1" applyBorder="1"/>
    <xf numFmtId="0" fontId="6" fillId="16" borderId="7" xfId="0" applyFont="1" applyFill="1" applyBorder="1"/>
    <xf numFmtId="0" fontId="12" fillId="15" borderId="2" xfId="0" applyFont="1" applyFill="1" applyBorder="1" applyAlignment="1">
      <alignment vertical="center"/>
    </xf>
    <xf numFmtId="10" fontId="11" fillId="15" borderId="1" xfId="0" applyNumberFormat="1" applyFont="1" applyFill="1" applyBorder="1" applyAlignment="1">
      <alignment vertical="center"/>
    </xf>
    <xf numFmtId="10" fontId="11" fillId="15" borderId="2" xfId="0" applyNumberFormat="1" applyFont="1" applyFill="1" applyBorder="1" applyAlignment="1">
      <alignment vertical="center"/>
    </xf>
    <xf numFmtId="9" fontId="48" fillId="16" borderId="19" xfId="4" applyFont="1" applyFill="1" applyBorder="1" applyAlignment="1">
      <alignment horizontal="center"/>
    </xf>
    <xf numFmtId="10" fontId="48" fillId="15" borderId="1" xfId="0" applyNumberFormat="1" applyFont="1" applyFill="1" applyBorder="1"/>
    <xf numFmtId="3" fontId="16" fillId="0" borderId="1" xfId="0" applyNumberFormat="1" applyFont="1" applyBorder="1" applyAlignment="1">
      <alignment horizontal="right" vertical="center"/>
    </xf>
    <xf numFmtId="3" fontId="16" fillId="0" borderId="2" xfId="0" applyNumberFormat="1" applyFont="1" applyBorder="1" applyAlignment="1">
      <alignment horizontal="right" vertical="center"/>
    </xf>
    <xf numFmtId="3" fontId="54" fillId="10" borderId="1" xfId="0" applyNumberFormat="1" applyFont="1" applyFill="1" applyBorder="1" applyAlignment="1">
      <alignment horizontal="right" vertical="center"/>
    </xf>
    <xf numFmtId="10" fontId="48" fillId="15" borderId="1" xfId="0" applyNumberFormat="1" applyFont="1" applyFill="1" applyBorder="1" applyAlignment="1">
      <alignment vertical="center"/>
    </xf>
    <xf numFmtId="10" fontId="11" fillId="16" borderId="1" xfId="0" applyNumberFormat="1" applyFont="1" applyFill="1" applyBorder="1"/>
    <xf numFmtId="0" fontId="11" fillId="16" borderId="1" xfId="0" applyFont="1" applyFill="1" applyBorder="1"/>
    <xf numFmtId="0" fontId="12" fillId="0" borderId="0" xfId="0" applyFont="1" applyBorder="1" applyAlignment="1">
      <alignment horizontal="center" vertical="center"/>
    </xf>
    <xf numFmtId="164" fontId="11" fillId="0" borderId="0" xfId="1" applyNumberFormat="1" applyFont="1" applyBorder="1" applyAlignment="1">
      <alignment vertical="center"/>
    </xf>
    <xf numFmtId="0" fontId="13" fillId="10" borderId="1" xfId="0" applyFont="1" applyFill="1" applyBorder="1" applyAlignment="1">
      <alignment vertical="center"/>
    </xf>
    <xf numFmtId="0" fontId="11" fillId="10" borderId="1" xfId="0" applyFont="1" applyFill="1" applyBorder="1" applyAlignment="1">
      <alignment vertical="center"/>
    </xf>
    <xf numFmtId="164" fontId="12" fillId="0" borderId="1" xfId="1" applyNumberFormat="1" applyFont="1" applyFill="1" applyBorder="1" applyAlignment="1">
      <alignment vertical="center"/>
    </xf>
    <xf numFmtId="10" fontId="11" fillId="16" borderId="0" xfId="0" applyNumberFormat="1" applyFont="1" applyFill="1" applyBorder="1"/>
    <xf numFmtId="3" fontId="16" fillId="0" borderId="11" xfId="0" applyNumberFormat="1" applyFont="1" applyFill="1" applyBorder="1" applyAlignment="1">
      <alignment horizontal="right" vertical="center"/>
    </xf>
    <xf numFmtId="165" fontId="10" fillId="0" borderId="0" xfId="0" applyNumberFormat="1" applyFont="1" applyAlignment="1"/>
    <xf numFmtId="165" fontId="10" fillId="0" borderId="0" xfId="0" applyNumberFormat="1" applyFont="1"/>
    <xf numFmtId="0" fontId="62" fillId="0" borderId="0" xfId="0" applyFont="1"/>
    <xf numFmtId="0" fontId="64" fillId="0" borderId="0" xfId="0" applyFont="1"/>
    <xf numFmtId="0" fontId="10" fillId="0" borderId="0" xfId="0" applyFont="1" applyBorder="1"/>
    <xf numFmtId="0" fontId="64" fillId="0" borderId="0" xfId="0" applyFont="1" applyFill="1" applyBorder="1"/>
    <xf numFmtId="0" fontId="64" fillId="0" borderId="0" xfId="0" applyFont="1" applyFill="1" applyBorder="1" applyAlignment="1">
      <alignment horizontal="center"/>
    </xf>
    <xf numFmtId="0" fontId="10" fillId="31" borderId="2" xfId="0" applyFont="1" applyFill="1" applyBorder="1" applyAlignment="1">
      <alignment horizontal="right"/>
    </xf>
    <xf numFmtId="0" fontId="10" fillId="31" borderId="3" xfId="0" applyFont="1" applyFill="1" applyBorder="1" applyAlignment="1">
      <alignment horizontal="right"/>
    </xf>
    <xf numFmtId="1" fontId="10" fillId="31" borderId="3" xfId="0" applyNumberFormat="1" applyFont="1" applyFill="1" applyBorder="1" applyAlignment="1">
      <alignment horizontal="right"/>
    </xf>
    <xf numFmtId="0" fontId="10" fillId="0" borderId="0" xfId="0" applyFont="1" applyBorder="1" applyAlignment="1">
      <alignment horizontal="right"/>
    </xf>
    <xf numFmtId="0" fontId="64" fillId="0" borderId="0" xfId="0" applyFont="1" applyAlignment="1">
      <alignment horizontal="right"/>
    </xf>
    <xf numFmtId="0" fontId="10" fillId="0" borderId="3" xfId="0" applyFont="1" applyBorder="1" applyAlignment="1">
      <alignment horizontal="right"/>
    </xf>
    <xf numFmtId="0" fontId="10" fillId="30" borderId="0" xfId="0" applyFont="1" applyFill="1" applyBorder="1" applyAlignment="1">
      <alignment horizontal="right"/>
    </xf>
    <xf numFmtId="3" fontId="10" fillId="30" borderId="0" xfId="0" applyNumberFormat="1" applyFont="1" applyFill="1" applyBorder="1" applyAlignment="1">
      <alignment horizontal="right"/>
    </xf>
    <xf numFmtId="3" fontId="10" fillId="0" borderId="3" xfId="0" applyNumberFormat="1" applyFont="1" applyBorder="1" applyAlignment="1">
      <alignment horizontal="right"/>
    </xf>
    <xf numFmtId="1" fontId="10" fillId="0" borderId="3" xfId="0" applyNumberFormat="1" applyFont="1" applyBorder="1" applyAlignment="1">
      <alignment horizontal="right"/>
    </xf>
    <xf numFmtId="0" fontId="64" fillId="0" borderId="0" xfId="0" applyFont="1" applyFill="1" applyBorder="1" applyAlignment="1">
      <alignment horizontal="right"/>
    </xf>
    <xf numFmtId="0" fontId="64" fillId="0" borderId="0" xfId="0" applyFont="1" applyBorder="1" applyAlignment="1">
      <alignment horizontal="right"/>
    </xf>
    <xf numFmtId="0" fontId="10" fillId="31" borderId="22" xfId="0" applyFont="1" applyFill="1" applyBorder="1" applyAlignment="1">
      <alignment horizontal="right"/>
    </xf>
    <xf numFmtId="164" fontId="10" fillId="31" borderId="22" xfId="1" applyNumberFormat="1" applyFont="1" applyFill="1" applyBorder="1" applyAlignment="1">
      <alignment horizontal="right"/>
    </xf>
    <xf numFmtId="0" fontId="10" fillId="31" borderId="25" xfId="0" applyFont="1" applyFill="1" applyBorder="1" applyAlignment="1">
      <alignment horizontal="right"/>
    </xf>
    <xf numFmtId="3" fontId="10" fillId="31" borderId="26" xfId="0" applyNumberFormat="1" applyFont="1" applyFill="1" applyBorder="1" applyAlignment="1">
      <alignment horizontal="right"/>
    </xf>
    <xf numFmtId="164" fontId="10" fillId="31" borderId="26" xfId="1" applyNumberFormat="1" applyFont="1" applyFill="1" applyBorder="1" applyAlignment="1">
      <alignment horizontal="right"/>
    </xf>
    <xf numFmtId="0" fontId="10" fillId="0" borderId="25" xfId="0" applyFont="1" applyBorder="1" applyAlignment="1">
      <alignment horizontal="right"/>
    </xf>
    <xf numFmtId="0" fontId="10" fillId="30" borderId="26" xfId="0" applyFont="1" applyFill="1" applyBorder="1" applyAlignment="1">
      <alignment horizontal="right"/>
    </xf>
    <xf numFmtId="3" fontId="10" fillId="30" borderId="26" xfId="0" applyNumberFormat="1" applyFont="1" applyFill="1" applyBorder="1" applyAlignment="1">
      <alignment horizontal="right"/>
    </xf>
    <xf numFmtId="164" fontId="10" fillId="30" borderId="26" xfId="1" applyNumberFormat="1" applyFont="1" applyFill="1" applyBorder="1" applyAlignment="1">
      <alignment horizontal="right"/>
    </xf>
    <xf numFmtId="0" fontId="10" fillId="0" borderId="22" xfId="0" applyFont="1" applyBorder="1" applyAlignment="1">
      <alignment horizontal="right"/>
    </xf>
    <xf numFmtId="164" fontId="10" fillId="0" borderId="22" xfId="1" applyNumberFormat="1" applyFont="1" applyBorder="1" applyAlignment="1">
      <alignment horizontal="right"/>
    </xf>
    <xf numFmtId="3" fontId="10" fillId="0" borderId="25" xfId="0" applyNumberFormat="1" applyFont="1" applyBorder="1" applyAlignment="1">
      <alignment horizontal="right"/>
    </xf>
    <xf numFmtId="3" fontId="10" fillId="31" borderId="2" xfId="0" applyNumberFormat="1" applyFont="1" applyFill="1" applyBorder="1" applyAlignment="1">
      <alignment horizontal="right"/>
    </xf>
    <xf numFmtId="0" fontId="10" fillId="30" borderId="22" xfId="0" applyFont="1" applyFill="1" applyBorder="1" applyAlignment="1">
      <alignment horizontal="right"/>
    </xf>
    <xf numFmtId="3" fontId="10" fillId="30" borderId="22" xfId="0" applyNumberFormat="1" applyFont="1" applyFill="1" applyBorder="1" applyAlignment="1">
      <alignment horizontal="right"/>
    </xf>
    <xf numFmtId="0" fontId="10" fillId="0" borderId="16" xfId="0" applyFont="1" applyBorder="1" applyAlignment="1">
      <alignment horizontal="right"/>
    </xf>
    <xf numFmtId="3" fontId="10" fillId="0" borderId="16" xfId="0" applyNumberFormat="1" applyFont="1" applyBorder="1" applyAlignment="1">
      <alignment horizontal="right"/>
    </xf>
    <xf numFmtId="3" fontId="10" fillId="0" borderId="18" xfId="0" applyNumberFormat="1" applyFont="1" applyBorder="1" applyAlignment="1">
      <alignment horizontal="right"/>
    </xf>
    <xf numFmtId="1" fontId="10" fillId="30" borderId="0" xfId="0" applyNumberFormat="1" applyFont="1" applyFill="1" applyBorder="1" applyAlignment="1">
      <alignment horizontal="right"/>
    </xf>
    <xf numFmtId="0" fontId="61" fillId="0" borderId="20" xfId="0" applyFont="1" applyBorder="1" applyAlignment="1">
      <alignment horizontal="center" vertical="center" wrapText="1"/>
    </xf>
    <xf numFmtId="0" fontId="62" fillId="0" borderId="0" xfId="0" applyFont="1" applyBorder="1" applyAlignment="1">
      <alignment horizontal="left"/>
    </xf>
    <xf numFmtId="0" fontId="61" fillId="0" borderId="0" xfId="0" applyNumberFormat="1" applyFont="1" applyBorder="1" applyAlignment="1">
      <alignment horizontal="center" wrapText="1"/>
    </xf>
    <xf numFmtId="0" fontId="31" fillId="10" borderId="0" xfId="0" applyFont="1" applyFill="1" applyBorder="1"/>
    <xf numFmtId="0" fontId="10" fillId="10" borderId="0" xfId="0" applyFont="1" applyFill="1" applyBorder="1" applyAlignment="1"/>
    <xf numFmtId="0" fontId="10" fillId="10" borderId="0" xfId="0" applyFont="1" applyFill="1" applyBorder="1"/>
    <xf numFmtId="164" fontId="48" fillId="14" borderId="0" xfId="1" applyNumberFormat="1" applyFont="1" applyFill="1" applyBorder="1" applyAlignment="1">
      <alignment horizontal="right"/>
    </xf>
    <xf numFmtId="3" fontId="61" fillId="5" borderId="26" xfId="0" quotePrefix="1" applyNumberFormat="1" applyFont="1" applyFill="1" applyBorder="1"/>
    <xf numFmtId="3" fontId="61" fillId="5" borderId="26" xfId="0" applyNumberFormat="1" applyFont="1" applyFill="1" applyBorder="1"/>
    <xf numFmtId="3" fontId="61" fillId="0" borderId="26" xfId="0" quotePrefix="1" applyNumberFormat="1" applyFont="1" applyBorder="1"/>
    <xf numFmtId="3" fontId="61" fillId="4" borderId="26" xfId="0" applyNumberFormat="1" applyFont="1" applyFill="1" applyBorder="1"/>
    <xf numFmtId="3" fontId="61" fillId="0" borderId="26" xfId="0" applyNumberFormat="1" applyFont="1" applyFill="1" applyBorder="1"/>
    <xf numFmtId="3" fontId="61" fillId="17" borderId="26" xfId="0" applyNumberFormat="1" applyFont="1" applyFill="1" applyBorder="1"/>
    <xf numFmtId="3" fontId="61" fillId="25" borderId="26" xfId="0" applyNumberFormat="1" applyFont="1" applyFill="1" applyBorder="1"/>
    <xf numFmtId="9" fontId="63" fillId="19" borderId="26" xfId="4" applyFont="1" applyFill="1" applyBorder="1" applyAlignment="1">
      <alignment horizontal="right"/>
    </xf>
    <xf numFmtId="0" fontId="63" fillId="19" borderId="22" xfId="0" applyFont="1" applyFill="1" applyBorder="1" applyAlignment="1">
      <alignment horizontal="center"/>
    </xf>
    <xf numFmtId="0" fontId="31" fillId="0" borderId="0" xfId="0" applyFont="1" applyBorder="1" applyAlignment="1">
      <alignment horizontal="center"/>
    </xf>
    <xf numFmtId="0" fontId="62" fillId="10" borderId="0" xfId="0" applyFont="1" applyFill="1" applyBorder="1" applyAlignment="1">
      <alignment horizontal="left"/>
    </xf>
    <xf numFmtId="0" fontId="61" fillId="5" borderId="23" xfId="0" quotePrefix="1" applyNumberFormat="1" applyFont="1" applyFill="1" applyBorder="1" applyAlignment="1">
      <alignment horizontal="center"/>
    </xf>
    <xf numFmtId="3" fontId="61" fillId="5" borderId="24" xfId="0" quotePrefix="1" applyNumberFormat="1" applyFont="1" applyFill="1" applyBorder="1"/>
    <xf numFmtId="3" fontId="61" fillId="5" borderId="24" xfId="0" applyNumberFormat="1" applyFont="1" applyFill="1" applyBorder="1"/>
    <xf numFmtId="0" fontId="61" fillId="0" borderId="25" xfId="0" quotePrefix="1" applyNumberFormat="1" applyFont="1" applyBorder="1" applyAlignment="1">
      <alignment horizontal="center"/>
    </xf>
    <xf numFmtId="0" fontId="61" fillId="5" borderId="25" xfId="0" quotePrefix="1" applyNumberFormat="1" applyFont="1" applyFill="1" applyBorder="1" applyAlignment="1">
      <alignment horizontal="center"/>
    </xf>
    <xf numFmtId="0" fontId="61" fillId="0" borderId="25" xfId="0" quotePrefix="1" applyNumberFormat="1" applyFont="1" applyFill="1" applyBorder="1" applyAlignment="1">
      <alignment horizontal="center"/>
    </xf>
    <xf numFmtId="0" fontId="61" fillId="5" borderId="25" xfId="0" applyNumberFormat="1" applyFont="1" applyFill="1" applyBorder="1" applyAlignment="1">
      <alignment horizontal="center"/>
    </xf>
    <xf numFmtId="0" fontId="61" fillId="4" borderId="25" xfId="0" applyNumberFormat="1" applyFont="1" applyFill="1" applyBorder="1" applyAlignment="1">
      <alignment horizontal="center"/>
    </xf>
    <xf numFmtId="0" fontId="61" fillId="0" borderId="25" xfId="0" applyNumberFormat="1" applyFont="1" applyFill="1" applyBorder="1" applyAlignment="1">
      <alignment horizontal="center"/>
    </xf>
    <xf numFmtId="0" fontId="61" fillId="17" borderId="25" xfId="0" applyNumberFormat="1" applyFont="1" applyFill="1" applyBorder="1" applyAlignment="1">
      <alignment horizontal="center"/>
    </xf>
    <xf numFmtId="0" fontId="61" fillId="25" borderId="25" xfId="0" applyNumberFormat="1" applyFont="1" applyFill="1" applyBorder="1" applyAlignment="1">
      <alignment horizontal="center"/>
    </xf>
    <xf numFmtId="0" fontId="61" fillId="25" borderId="27" xfId="0" applyNumberFormat="1" applyFont="1" applyFill="1" applyBorder="1" applyAlignment="1">
      <alignment horizontal="center"/>
    </xf>
    <xf numFmtId="3" fontId="61" fillId="25" borderId="28" xfId="0" applyNumberFormat="1" applyFont="1" applyFill="1" applyBorder="1"/>
    <xf numFmtId="0" fontId="66" fillId="0" borderId="0" xfId="0" applyFont="1" applyBorder="1"/>
    <xf numFmtId="0" fontId="26" fillId="0" borderId="0" xfId="0" applyFont="1" applyBorder="1"/>
    <xf numFmtId="43" fontId="26" fillId="0" borderId="0" xfId="1" applyFont="1" applyBorder="1"/>
    <xf numFmtId="164" fontId="26" fillId="0" borderId="0" xfId="0" applyNumberFormat="1" applyFont="1" applyBorder="1"/>
    <xf numFmtId="0" fontId="26" fillId="10" borderId="0" xfId="0" applyFont="1" applyFill="1" applyBorder="1"/>
    <xf numFmtId="0" fontId="25" fillId="0" borderId="0" xfId="0" applyFont="1" applyBorder="1"/>
    <xf numFmtId="0" fontId="25" fillId="0" borderId="0" xfId="0" quotePrefix="1" applyNumberFormat="1" applyFont="1" applyFill="1" applyBorder="1" applyAlignment="1">
      <alignment horizontal="left"/>
    </xf>
    <xf numFmtId="0" fontId="25" fillId="18" borderId="0" xfId="0" quotePrefix="1" applyNumberFormat="1" applyFont="1" applyFill="1" applyBorder="1" applyAlignment="1">
      <alignment horizontal="left"/>
    </xf>
    <xf numFmtId="1" fontId="25" fillId="0" borderId="0" xfId="0" applyNumberFormat="1" applyFont="1" applyBorder="1" applyAlignment="1">
      <alignment horizontal="left"/>
    </xf>
    <xf numFmtId="1" fontId="25" fillId="18" borderId="0" xfId="0" applyNumberFormat="1" applyFont="1" applyFill="1" applyBorder="1" applyAlignment="1">
      <alignment horizontal="left"/>
    </xf>
    <xf numFmtId="1" fontId="25" fillId="10" borderId="0" xfId="0" applyNumberFormat="1" applyFont="1" applyFill="1" applyBorder="1" applyAlignment="1">
      <alignment horizontal="left"/>
    </xf>
    <xf numFmtId="164" fontId="25" fillId="18" borderId="0" xfId="1" applyNumberFormat="1" applyFont="1" applyFill="1" applyBorder="1"/>
    <xf numFmtId="0" fontId="26" fillId="0" borderId="0" xfId="0" applyFont="1" applyBorder="1" applyAlignment="1">
      <alignment horizontal="left"/>
    </xf>
    <xf numFmtId="164" fontId="25" fillId="0" borderId="0" xfId="1" applyNumberFormat="1" applyFont="1" applyFill="1" applyBorder="1" applyAlignment="1"/>
    <xf numFmtId="164" fontId="25" fillId="29" borderId="0" xfId="1" applyNumberFormat="1" applyFont="1" applyFill="1" applyBorder="1" applyAlignment="1"/>
    <xf numFmtId="0" fontId="65" fillId="0" borderId="0" xfId="0" applyNumberFormat="1" applyFont="1" applyBorder="1" applyAlignment="1">
      <alignment horizontal="center" wrapText="1"/>
    </xf>
    <xf numFmtId="0" fontId="65" fillId="0" borderId="0" xfId="0" applyNumberFormat="1" applyFont="1" applyFill="1" applyBorder="1" applyAlignment="1">
      <alignment horizontal="center" wrapText="1"/>
    </xf>
    <xf numFmtId="10" fontId="65" fillId="0" borderId="0" xfId="4" applyNumberFormat="1" applyFont="1" applyFill="1" applyBorder="1" applyAlignment="1">
      <alignment horizontal="center" wrapText="1"/>
    </xf>
    <xf numFmtId="0" fontId="65" fillId="0" borderId="23" xfId="0" quotePrefix="1" applyNumberFormat="1" applyFont="1" applyFill="1" applyBorder="1" applyAlignment="1">
      <alignment horizontal="center"/>
    </xf>
    <xf numFmtId="164" fontId="65" fillId="0" borderId="24" xfId="1" quotePrefix="1" applyNumberFormat="1" applyFont="1" applyFill="1" applyBorder="1"/>
    <xf numFmtId="3" fontId="65" fillId="0" borderId="24" xfId="0" quotePrefix="1" applyNumberFormat="1" applyFont="1" applyFill="1" applyBorder="1"/>
    <xf numFmtId="164" fontId="65" fillId="0" borderId="24" xfId="1" applyNumberFormat="1" applyFont="1" applyFill="1" applyBorder="1"/>
    <xf numFmtId="164" fontId="65" fillId="0" borderId="24" xfId="1" applyNumberFormat="1" applyFont="1" applyBorder="1"/>
    <xf numFmtId="10" fontId="65" fillId="0" borderId="24" xfId="4" applyNumberFormat="1" applyFont="1" applyBorder="1"/>
    <xf numFmtId="0" fontId="65" fillId="18" borderId="25" xfId="0" quotePrefix="1" applyNumberFormat="1" applyFont="1" applyFill="1" applyBorder="1" applyAlignment="1">
      <alignment horizontal="center"/>
    </xf>
    <xf numFmtId="164" fontId="65" fillId="18" borderId="26" xfId="1" quotePrefix="1" applyNumberFormat="1" applyFont="1" applyFill="1" applyBorder="1"/>
    <xf numFmtId="3" fontId="65" fillId="18" borderId="26" xfId="0" quotePrefix="1" applyNumberFormat="1" applyFont="1" applyFill="1" applyBorder="1"/>
    <xf numFmtId="164" fontId="65" fillId="18" borderId="26" xfId="1" applyNumberFormat="1" applyFont="1" applyFill="1" applyBorder="1"/>
    <xf numFmtId="10" fontId="65" fillId="18" borderId="26" xfId="4" applyNumberFormat="1" applyFont="1" applyFill="1" applyBorder="1"/>
    <xf numFmtId="0" fontId="65" fillId="0" borderId="25" xfId="0" quotePrefix="1" applyNumberFormat="1" applyFont="1" applyFill="1" applyBorder="1" applyAlignment="1">
      <alignment horizontal="center"/>
    </xf>
    <xf numFmtId="164" fontId="65" fillId="0" borderId="26" xfId="1" quotePrefix="1" applyNumberFormat="1" applyFont="1" applyFill="1" applyBorder="1"/>
    <xf numFmtId="3" fontId="65" fillId="0" borderId="26" xfId="0" quotePrefix="1" applyNumberFormat="1" applyFont="1" applyFill="1" applyBorder="1"/>
    <xf numFmtId="164" fontId="65" fillId="0" borderId="26" xfId="1" applyNumberFormat="1" applyFont="1" applyFill="1" applyBorder="1"/>
    <xf numFmtId="164" fontId="65" fillId="0" borderId="26" xfId="1" applyNumberFormat="1" applyFont="1" applyBorder="1"/>
    <xf numFmtId="10" fontId="65" fillId="0" borderId="26" xfId="4" applyNumberFormat="1" applyFont="1" applyBorder="1"/>
    <xf numFmtId="3" fontId="65" fillId="0" borderId="26" xfId="0" applyNumberFormat="1" applyFont="1" applyFill="1" applyBorder="1"/>
    <xf numFmtId="3" fontId="65" fillId="18" borderId="26" xfId="0" applyNumberFormat="1" applyFont="1" applyFill="1" applyBorder="1"/>
    <xf numFmtId="1" fontId="65" fillId="0" borderId="25" xfId="0" applyNumberFormat="1" applyFont="1" applyBorder="1" applyAlignment="1">
      <alignment horizontal="center"/>
    </xf>
    <xf numFmtId="3" fontId="65" fillId="0" borderId="26" xfId="0" applyNumberFormat="1" applyFont="1" applyFill="1" applyBorder="1" applyAlignment="1">
      <alignment vertical="center"/>
    </xf>
    <xf numFmtId="1" fontId="65" fillId="18" borderId="25" xfId="0" applyNumberFormat="1" applyFont="1" applyFill="1" applyBorder="1" applyAlignment="1">
      <alignment horizontal="center"/>
    </xf>
    <xf numFmtId="3" fontId="65" fillId="18" borderId="26" xfId="0" applyNumberFormat="1" applyFont="1" applyFill="1" applyBorder="1" applyAlignment="1">
      <alignment vertical="center"/>
    </xf>
    <xf numFmtId="1" fontId="65" fillId="10" borderId="25" xfId="0" applyNumberFormat="1" applyFont="1" applyFill="1" applyBorder="1" applyAlignment="1">
      <alignment horizontal="center"/>
    </xf>
    <xf numFmtId="1" fontId="65" fillId="0" borderId="25" xfId="0" applyNumberFormat="1" applyFont="1" applyFill="1" applyBorder="1" applyAlignment="1">
      <alignment horizontal="center"/>
    </xf>
    <xf numFmtId="164" fontId="65" fillId="0" borderId="26" xfId="1" applyNumberFormat="1" applyFont="1" applyFill="1" applyBorder="1" applyAlignment="1"/>
    <xf numFmtId="164" fontId="65" fillId="0" borderId="26" xfId="1" applyNumberFormat="1" applyFont="1" applyFill="1" applyBorder="1" applyAlignment="1">
      <alignment horizontal="right"/>
    </xf>
    <xf numFmtId="10" fontId="65" fillId="0" borderId="26" xfId="4" applyNumberFormat="1" applyFont="1" applyFill="1" applyBorder="1" applyAlignment="1">
      <alignment horizontal="right"/>
    </xf>
    <xf numFmtId="10" fontId="65" fillId="0" borderId="3" xfId="4" applyNumberFormat="1" applyFont="1" applyFill="1" applyBorder="1" applyAlignment="1">
      <alignment horizontal="right"/>
    </xf>
    <xf numFmtId="1" fontId="65" fillId="29" borderId="25" xfId="0" applyNumberFormat="1" applyFont="1" applyFill="1" applyBorder="1" applyAlignment="1">
      <alignment horizontal="center"/>
    </xf>
    <xf numFmtId="164" fontId="65" fillId="29" borderId="26" xfId="1" applyNumberFormat="1" applyFont="1" applyFill="1" applyBorder="1" applyAlignment="1"/>
    <xf numFmtId="164" fontId="65" fillId="29" borderId="26" xfId="1" applyNumberFormat="1" applyFont="1" applyFill="1" applyBorder="1" applyAlignment="1">
      <alignment horizontal="right"/>
    </xf>
    <xf numFmtId="10" fontId="65" fillId="29" borderId="26" xfId="4" applyNumberFormat="1" applyFont="1" applyFill="1" applyBorder="1" applyAlignment="1">
      <alignment horizontal="right"/>
    </xf>
    <xf numFmtId="10" fontId="65" fillId="29" borderId="3" xfId="4" applyNumberFormat="1" applyFont="1" applyFill="1" applyBorder="1" applyAlignment="1">
      <alignment horizontal="right"/>
    </xf>
    <xf numFmtId="1" fontId="65" fillId="0" borderId="27" xfId="0" applyNumberFormat="1" applyFont="1" applyFill="1" applyBorder="1" applyAlignment="1">
      <alignment horizontal="center"/>
    </xf>
    <xf numFmtId="164" fontId="65" fillId="0" borderId="28" xfId="1" applyNumberFormat="1" applyFont="1" applyFill="1" applyBorder="1" applyAlignment="1"/>
    <xf numFmtId="164" fontId="65" fillId="0" borderId="28" xfId="1" applyNumberFormat="1" applyFont="1" applyFill="1" applyBorder="1" applyAlignment="1">
      <alignment horizontal="right"/>
    </xf>
    <xf numFmtId="10" fontId="65" fillId="0" borderId="28" xfId="4" applyNumberFormat="1" applyFont="1" applyFill="1" applyBorder="1" applyAlignment="1">
      <alignment horizontal="right"/>
    </xf>
    <xf numFmtId="0" fontId="67" fillId="19" borderId="21" xfId="0" applyFont="1" applyFill="1" applyBorder="1" applyAlignment="1">
      <alignment wrapText="1"/>
    </xf>
    <xf numFmtId="9" fontId="67" fillId="19" borderId="24" xfId="4" applyFont="1" applyFill="1" applyBorder="1" applyAlignment="1">
      <alignment horizontal="center" vertical="center"/>
    </xf>
    <xf numFmtId="9" fontId="67" fillId="19" borderId="0" xfId="4" applyFont="1" applyFill="1" applyBorder="1" applyAlignment="1">
      <alignment horizontal="center" vertical="center"/>
    </xf>
    <xf numFmtId="0" fontId="65" fillId="0" borderId="0" xfId="0" applyFont="1" applyBorder="1"/>
    <xf numFmtId="10" fontId="65" fillId="0" borderId="0" xfId="4" applyNumberFormat="1" applyFont="1" applyBorder="1"/>
    <xf numFmtId="0" fontId="22" fillId="27" borderId="4" xfId="0" applyFont="1" applyFill="1" applyBorder="1" applyAlignment="1">
      <alignment horizontal="right" vertical="center"/>
    </xf>
    <xf numFmtId="0" fontId="22" fillId="27" borderId="11" xfId="0" applyFont="1" applyFill="1" applyBorder="1" applyAlignment="1">
      <alignment horizontal="right" vertical="center"/>
    </xf>
    <xf numFmtId="0" fontId="22" fillId="0" borderId="0" xfId="0" applyFont="1" applyFill="1" applyBorder="1" applyAlignment="1">
      <alignment horizontal="center" vertical="center"/>
    </xf>
    <xf numFmtId="0" fontId="23" fillId="0" borderId="0" xfId="0" applyFont="1" applyAlignment="1">
      <alignment vertical="center"/>
    </xf>
    <xf numFmtId="0" fontId="24" fillId="13" borderId="13" xfId="0" applyFont="1" applyFill="1" applyBorder="1" applyAlignment="1">
      <alignment horizontal="right" vertical="center"/>
    </xf>
    <xf numFmtId="0" fontId="24" fillId="13" borderId="10" xfId="0" applyFont="1" applyFill="1" applyBorder="1" applyAlignment="1">
      <alignment horizontal="right" vertical="center"/>
    </xf>
    <xf numFmtId="3" fontId="22" fillId="0" borderId="0" xfId="0" applyNumberFormat="1" applyFont="1" applyFill="1" applyBorder="1" applyAlignment="1">
      <alignment vertical="center"/>
    </xf>
    <xf numFmtId="0" fontId="22" fillId="13" borderId="2" xfId="0" applyFont="1" applyFill="1" applyBorder="1" applyAlignment="1">
      <alignment horizontal="right" vertical="center"/>
    </xf>
    <xf numFmtId="0" fontId="22" fillId="13" borderId="0" xfId="0" applyFont="1" applyFill="1" applyBorder="1" applyAlignment="1">
      <alignment horizontal="right" vertical="center"/>
    </xf>
    <xf numFmtId="9" fontId="22" fillId="0" borderId="0" xfId="4" applyFont="1" applyFill="1" applyBorder="1" applyAlignment="1">
      <alignment vertical="center"/>
    </xf>
    <xf numFmtId="0" fontId="24" fillId="21" borderId="13" xfId="0" applyFont="1" applyFill="1" applyBorder="1" applyAlignment="1">
      <alignment horizontal="right" vertical="center"/>
    </xf>
    <xf numFmtId="0" fontId="24" fillId="21" borderId="10" xfId="0" applyFont="1" applyFill="1" applyBorder="1" applyAlignment="1">
      <alignment horizontal="right" vertical="center"/>
    </xf>
    <xf numFmtId="0" fontId="22" fillId="21" borderId="2" xfId="0" applyFont="1" applyFill="1" applyBorder="1" applyAlignment="1">
      <alignment horizontal="right" vertical="center"/>
    </xf>
    <xf numFmtId="0" fontId="22" fillId="21" borderId="0" xfId="0" applyFont="1" applyFill="1" applyBorder="1" applyAlignment="1">
      <alignment horizontal="right" vertical="center"/>
    </xf>
    <xf numFmtId="0" fontId="22" fillId="21" borderId="4" xfId="0" applyFont="1" applyFill="1" applyBorder="1" applyAlignment="1">
      <alignment horizontal="right" vertical="center"/>
    </xf>
    <xf numFmtId="0" fontId="22" fillId="21" borderId="11" xfId="0" applyFont="1" applyFill="1" applyBorder="1" applyAlignment="1">
      <alignment horizontal="right" vertical="center"/>
    </xf>
    <xf numFmtId="3" fontId="23" fillId="0" borderId="0" xfId="0" applyNumberFormat="1" applyFont="1" applyAlignment="1">
      <alignment vertical="center"/>
    </xf>
    <xf numFmtId="0" fontId="24" fillId="27" borderId="13" xfId="0" applyFont="1" applyFill="1" applyBorder="1" applyAlignment="1">
      <alignment horizontal="right" vertical="center"/>
    </xf>
    <xf numFmtId="0" fontId="24" fillId="27" borderId="10" xfId="0" applyFont="1" applyFill="1" applyBorder="1" applyAlignment="1">
      <alignment horizontal="right" vertical="center"/>
    </xf>
    <xf numFmtId="0" fontId="22" fillId="27" borderId="2" xfId="0" applyFont="1" applyFill="1" applyBorder="1" applyAlignment="1">
      <alignment horizontal="right" vertical="center"/>
    </xf>
    <xf numFmtId="0" fontId="22" fillId="27" borderId="0" xfId="0" applyFont="1" applyFill="1" applyBorder="1" applyAlignment="1">
      <alignment horizontal="right" vertical="center"/>
    </xf>
    <xf numFmtId="9" fontId="22" fillId="0" borderId="0" xfId="4" applyFont="1" applyFill="1" applyBorder="1" applyAlignment="1">
      <alignment vertical="center" wrapText="1"/>
    </xf>
    <xf numFmtId="3" fontId="22" fillId="0" borderId="0" xfId="0" applyNumberFormat="1" applyFont="1" applyFill="1" applyBorder="1" applyAlignment="1">
      <alignment vertical="center" wrapText="1"/>
    </xf>
    <xf numFmtId="0" fontId="71" fillId="0" borderId="0" xfId="0" applyFont="1" applyFill="1" applyBorder="1" applyAlignment="1">
      <alignment horizontal="center"/>
    </xf>
    <xf numFmtId="0" fontId="72" fillId="0" borderId="0" xfId="0" applyFont="1"/>
    <xf numFmtId="0" fontId="71" fillId="0" borderId="0" xfId="0" applyFont="1" applyFill="1" applyAlignment="1">
      <alignment horizontal="center"/>
    </xf>
    <xf numFmtId="0" fontId="22" fillId="27" borderId="11" xfId="0" applyFont="1" applyFill="1" applyBorder="1" applyAlignment="1">
      <alignment vertical="center"/>
    </xf>
    <xf numFmtId="0" fontId="35" fillId="13" borderId="10" xfId="0" applyFont="1" applyFill="1" applyBorder="1" applyAlignment="1">
      <alignment vertical="center"/>
    </xf>
    <xf numFmtId="0" fontId="22" fillId="13" borderId="0" xfId="0" applyFont="1" applyFill="1" applyBorder="1" applyAlignment="1">
      <alignment vertical="center"/>
    </xf>
    <xf numFmtId="0" fontId="35" fillId="21" borderId="10" xfId="0" applyFont="1" applyFill="1" applyBorder="1" applyAlignment="1">
      <alignment vertical="center"/>
    </xf>
    <xf numFmtId="0" fontId="22" fillId="21" borderId="0" xfId="0" applyFont="1" applyFill="1" applyBorder="1" applyAlignment="1">
      <alignment vertical="center"/>
    </xf>
    <xf numFmtId="0" fontId="22" fillId="21" borderId="11" xfId="0" applyFont="1" applyFill="1" applyBorder="1" applyAlignment="1">
      <alignment vertical="center"/>
    </xf>
    <xf numFmtId="0" fontId="35" fillId="27" borderId="10" xfId="0" applyFont="1" applyFill="1" applyBorder="1" applyAlignment="1">
      <alignment vertical="center"/>
    </xf>
    <xf numFmtId="0" fontId="22" fillId="27" borderId="0" xfId="0" applyFont="1" applyFill="1" applyBorder="1" applyAlignment="1">
      <alignment vertical="center"/>
    </xf>
    <xf numFmtId="3" fontId="22" fillId="26" borderId="20" xfId="0" applyNumberFormat="1" applyFont="1" applyFill="1" applyBorder="1" applyAlignment="1">
      <alignment vertical="center"/>
    </xf>
    <xf numFmtId="3" fontId="22" fillId="26" borderId="30" xfId="0" applyNumberFormat="1" applyFont="1" applyFill="1" applyBorder="1" applyAlignment="1">
      <alignment vertical="center"/>
    </xf>
    <xf numFmtId="3" fontId="22" fillId="26" borderId="16" xfId="0" applyNumberFormat="1" applyFont="1" applyFill="1" applyBorder="1" applyAlignment="1">
      <alignment horizontal="right" vertical="center"/>
    </xf>
    <xf numFmtId="3" fontId="22" fillId="26" borderId="30" xfId="0" applyNumberFormat="1" applyFont="1" applyFill="1" applyBorder="1" applyAlignment="1">
      <alignment horizontal="right" vertical="center"/>
    </xf>
    <xf numFmtId="9" fontId="22" fillId="26" borderId="18" xfId="4" applyFont="1" applyFill="1" applyBorder="1" applyAlignment="1">
      <alignment horizontal="right" vertical="center"/>
    </xf>
    <xf numFmtId="3" fontId="36" fillId="9" borderId="20" xfId="0" applyNumberFormat="1" applyFont="1" applyFill="1" applyBorder="1" applyAlignment="1">
      <alignment vertical="center"/>
    </xf>
    <xf numFmtId="3" fontId="36" fillId="9" borderId="30" xfId="0" applyNumberFormat="1" applyFont="1" applyFill="1" applyBorder="1" applyAlignment="1">
      <alignment vertical="center"/>
    </xf>
    <xf numFmtId="3" fontId="36" fillId="9" borderId="16" xfId="0" applyNumberFormat="1" applyFont="1" applyFill="1" applyBorder="1" applyAlignment="1">
      <alignment horizontal="right" vertical="center"/>
    </xf>
    <xf numFmtId="3" fontId="36" fillId="9" borderId="30" xfId="0" applyNumberFormat="1" applyFont="1" applyFill="1" applyBorder="1" applyAlignment="1">
      <alignment horizontal="right" vertical="center"/>
    </xf>
    <xf numFmtId="0" fontId="22" fillId="26" borderId="0" xfId="0" applyFont="1" applyFill="1" applyBorder="1" applyAlignment="1">
      <alignment horizontal="center" wrapText="1"/>
    </xf>
    <xf numFmtId="0" fontId="36" fillId="9" borderId="0" xfId="0" applyFont="1" applyFill="1" applyBorder="1" applyAlignment="1">
      <alignment horizontal="center" wrapText="1"/>
    </xf>
    <xf numFmtId="0" fontId="68" fillId="0" borderId="0" xfId="0" applyFont="1" applyFill="1" applyBorder="1" applyAlignment="1">
      <alignment horizontal="right" vertical="center"/>
    </xf>
    <xf numFmtId="0" fontId="68" fillId="0" borderId="0" xfId="0" applyFont="1" applyFill="1" applyBorder="1" applyAlignment="1">
      <alignment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23" fillId="0" borderId="0" xfId="0" applyFont="1" applyFill="1" applyBorder="1" applyAlignment="1">
      <alignment horizontal="right" vertical="center"/>
    </xf>
    <xf numFmtId="0" fontId="70" fillId="0" borderId="0" xfId="0" applyFont="1" applyFill="1" applyBorder="1" applyAlignment="1">
      <alignment vertical="center"/>
    </xf>
    <xf numFmtId="0" fontId="10" fillId="0" borderId="0" xfId="0" applyFont="1" applyBorder="1" applyAlignment="1">
      <alignment vertical="center"/>
    </xf>
    <xf numFmtId="3" fontId="23" fillId="0" borderId="0" xfId="0" applyNumberFormat="1" applyFont="1" applyBorder="1" applyAlignment="1">
      <alignment vertical="center"/>
    </xf>
    <xf numFmtId="0" fontId="74" fillId="0" borderId="0" xfId="0" applyFont="1" applyBorder="1" applyAlignment="1">
      <alignment horizontal="center" vertical="center"/>
    </xf>
    <xf numFmtId="0" fontId="75" fillId="0" borderId="0" xfId="0" applyFont="1" applyBorder="1" applyAlignment="1">
      <alignment horizontal="left" vertical="center" wrapText="1"/>
    </xf>
    <xf numFmtId="0" fontId="75" fillId="0" borderId="0" xfId="0" applyFont="1" applyBorder="1" applyAlignment="1">
      <alignment vertical="center" wrapText="1"/>
    </xf>
    <xf numFmtId="0" fontId="68" fillId="2" borderId="0" xfId="0" applyFont="1" applyFill="1" applyBorder="1" applyAlignment="1">
      <alignment horizontal="right" vertical="center"/>
    </xf>
    <xf numFmtId="0" fontId="68" fillId="2" borderId="0" xfId="0" applyFont="1" applyFill="1" applyBorder="1" applyAlignment="1">
      <alignment vertical="center"/>
    </xf>
    <xf numFmtId="0" fontId="76" fillId="0" borderId="0" xfId="0" applyFont="1" applyBorder="1" applyAlignment="1">
      <alignment horizontal="left" vertical="center" wrapText="1"/>
    </xf>
    <xf numFmtId="0" fontId="76" fillId="0" borderId="0" xfId="0" applyFont="1" applyBorder="1" applyAlignment="1">
      <alignment vertical="center"/>
    </xf>
    <xf numFmtId="0" fontId="76" fillId="0" borderId="0" xfId="0" applyFont="1" applyBorder="1" applyAlignment="1">
      <alignment vertical="center" wrapText="1"/>
    </xf>
    <xf numFmtId="0" fontId="80" fillId="0" borderId="0" xfId="3" applyFont="1" applyFill="1" applyBorder="1"/>
    <xf numFmtId="0" fontId="58" fillId="0" borderId="0" xfId="0" applyFont="1"/>
    <xf numFmtId="0" fontId="40" fillId="0" borderId="0" xfId="3" applyFont="1" applyFill="1" applyBorder="1" applyAlignment="1">
      <alignment horizontal="center"/>
    </xf>
    <xf numFmtId="0" fontId="39" fillId="0" borderId="0" xfId="3" applyFont="1" applyFill="1" applyBorder="1" applyAlignment="1">
      <alignment horizontal="left" wrapText="1"/>
    </xf>
    <xf numFmtId="0" fontId="80" fillId="0" borderId="37" xfId="3" applyFont="1" applyBorder="1"/>
    <xf numFmtId="0" fontId="39" fillId="0" borderId="38" xfId="3" applyFont="1" applyFill="1" applyBorder="1" applyAlignment="1">
      <alignment horizontal="center"/>
    </xf>
    <xf numFmtId="0" fontId="39" fillId="0" borderId="0" xfId="3" applyFont="1" applyFill="1" applyBorder="1" applyAlignment="1">
      <alignment horizontal="center"/>
    </xf>
    <xf numFmtId="0" fontId="39" fillId="0" borderId="35" xfId="3" applyFont="1" applyBorder="1" applyAlignment="1">
      <alignment vertical="center"/>
    </xf>
    <xf numFmtId="0" fontId="39" fillId="0" borderId="17" xfId="3" applyFont="1" applyBorder="1" applyAlignment="1">
      <alignment horizontal="center" vertical="center"/>
    </xf>
    <xf numFmtId="3" fontId="39" fillId="0" borderId="36" xfId="3" applyNumberFormat="1" applyFont="1" applyFill="1" applyBorder="1" applyAlignment="1">
      <alignment vertical="center"/>
    </xf>
    <xf numFmtId="3" fontId="39" fillId="0" borderId="0" xfId="3" applyNumberFormat="1" applyFont="1" applyFill="1" applyBorder="1"/>
    <xf numFmtId="0" fontId="39" fillId="22" borderId="39" xfId="3" applyFont="1" applyFill="1" applyBorder="1" applyAlignment="1">
      <alignment vertical="center"/>
    </xf>
    <xf numFmtId="0" fontId="80" fillId="22" borderId="0" xfId="3" applyFont="1" applyFill="1" applyBorder="1" applyAlignment="1">
      <alignment vertical="center"/>
    </xf>
    <xf numFmtId="3" fontId="39" fillId="22" borderId="40" xfId="3" applyNumberFormat="1" applyFont="1" applyFill="1" applyBorder="1" applyAlignment="1">
      <alignment horizontal="center" vertical="center"/>
    </xf>
    <xf numFmtId="3" fontId="39" fillId="0" borderId="0" xfId="3" applyNumberFormat="1" applyFont="1" applyFill="1" applyBorder="1" applyAlignment="1">
      <alignment horizontal="center"/>
    </xf>
    <xf numFmtId="3" fontId="39" fillId="0" borderId="36" xfId="3" applyNumberFormat="1" applyFont="1" applyFill="1" applyBorder="1" applyAlignment="1">
      <alignment horizontal="right" vertical="center"/>
    </xf>
    <xf numFmtId="3" fontId="39" fillId="0" borderId="0" xfId="3" applyNumberFormat="1" applyFont="1" applyFill="1" applyBorder="1" applyAlignment="1">
      <alignment horizontal="right"/>
    </xf>
    <xf numFmtId="0" fontId="80" fillId="22" borderId="2" xfId="3" applyFont="1" applyFill="1" applyBorder="1" applyAlignment="1">
      <alignment vertical="center"/>
    </xf>
    <xf numFmtId="0" fontId="80" fillId="22" borderId="3" xfId="3" applyFont="1" applyFill="1" applyBorder="1" applyAlignment="1">
      <alignment vertical="center"/>
    </xf>
    <xf numFmtId="3" fontId="58" fillId="0" borderId="36" xfId="3" applyNumberFormat="1" applyFont="1" applyFill="1" applyBorder="1" applyAlignment="1">
      <alignment vertical="center"/>
    </xf>
    <xf numFmtId="3" fontId="58" fillId="0" borderId="0" xfId="3" applyNumberFormat="1" applyFont="1" applyFill="1" applyBorder="1"/>
    <xf numFmtId="3" fontId="58" fillId="9" borderId="36" xfId="3" applyNumberFormat="1" applyFont="1" applyFill="1" applyBorder="1" applyAlignment="1">
      <alignment vertical="center"/>
    </xf>
    <xf numFmtId="0" fontId="40" fillId="22" borderId="2" xfId="3" applyFont="1" applyFill="1" applyBorder="1" applyAlignment="1">
      <alignment vertical="center"/>
    </xf>
    <xf numFmtId="3" fontId="60" fillId="22" borderId="3" xfId="3" applyNumberFormat="1" applyFont="1" applyFill="1" applyBorder="1" applyAlignment="1">
      <alignment vertical="center"/>
    </xf>
    <xf numFmtId="3" fontId="60" fillId="0" borderId="0" xfId="3" applyNumberFormat="1" applyFont="1" applyFill="1" applyBorder="1"/>
    <xf numFmtId="0" fontId="40" fillId="0" borderId="17" xfId="3" applyFont="1" applyBorder="1" applyAlignment="1">
      <alignment horizontal="center" vertical="center"/>
    </xf>
    <xf numFmtId="3" fontId="58" fillId="0" borderId="36" xfId="0" applyNumberFormat="1" applyFont="1" applyFill="1" applyBorder="1" applyAlignment="1">
      <alignment vertical="center"/>
    </xf>
    <xf numFmtId="3" fontId="58" fillId="0" borderId="0" xfId="0" applyNumberFormat="1" applyFont="1" applyFill="1" applyBorder="1" applyAlignment="1"/>
    <xf numFmtId="0" fontId="59" fillId="22" borderId="2" xfId="3" applyFont="1" applyFill="1" applyBorder="1" applyAlignment="1">
      <alignment vertical="center"/>
    </xf>
    <xf numFmtId="0" fontId="80" fillId="22" borderId="35" xfId="3" applyFont="1" applyFill="1" applyBorder="1" applyAlignment="1">
      <alignment vertical="center"/>
    </xf>
    <xf numFmtId="0" fontId="80" fillId="22" borderId="17" xfId="3" applyFont="1" applyFill="1" applyBorder="1" applyAlignment="1">
      <alignment vertical="center"/>
    </xf>
    <xf numFmtId="0" fontId="80" fillId="22" borderId="36" xfId="3" applyFont="1" applyFill="1" applyBorder="1" applyAlignment="1">
      <alignment vertical="center"/>
    </xf>
    <xf numFmtId="0" fontId="60" fillId="0" borderId="41" xfId="3" applyFont="1" applyBorder="1" applyAlignment="1">
      <alignment vertical="center"/>
    </xf>
    <xf numFmtId="0" fontId="60" fillId="0" borderId="42" xfId="3" applyFont="1" applyBorder="1" applyAlignment="1">
      <alignment horizontal="center" vertical="center"/>
    </xf>
    <xf numFmtId="9" fontId="60" fillId="0" borderId="43" xfId="4" applyFont="1" applyBorder="1" applyAlignment="1">
      <alignment vertical="center"/>
    </xf>
    <xf numFmtId="9" fontId="60" fillId="0" borderId="0" xfId="4" applyFont="1" applyFill="1" applyBorder="1"/>
    <xf numFmtId="0" fontId="64" fillId="0" borderId="2" xfId="0" applyFont="1" applyFill="1" applyBorder="1"/>
    <xf numFmtId="0" fontId="79" fillId="0" borderId="0" xfId="3" applyFont="1" applyBorder="1" applyAlignment="1">
      <alignment vertical="center" wrapText="1"/>
    </xf>
    <xf numFmtId="0" fontId="69" fillId="0" borderId="0" xfId="3" applyFont="1" applyBorder="1" applyAlignment="1">
      <alignment vertical="center" wrapText="1"/>
    </xf>
    <xf numFmtId="0" fontId="62"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79" fillId="0" borderId="0" xfId="3" applyFont="1" applyBorder="1" applyAlignment="1">
      <alignment vertical="center"/>
    </xf>
    <xf numFmtId="0" fontId="78" fillId="0" borderId="0" xfId="3" applyFont="1" applyBorder="1" applyAlignment="1">
      <alignment vertical="center"/>
    </xf>
    <xf numFmtId="0" fontId="62" fillId="0" borderId="0" xfId="0" applyFont="1" applyBorder="1" applyAlignment="1">
      <alignment horizontal="left" vertical="center" wrapText="1"/>
    </xf>
    <xf numFmtId="0" fontId="63" fillId="0" borderId="0" xfId="0" applyFont="1" applyBorder="1" applyAlignment="1">
      <alignment horizontal="left" vertical="center" wrapText="1"/>
    </xf>
    <xf numFmtId="0" fontId="79" fillId="0" borderId="0" xfId="3" applyFont="1" applyBorder="1" applyAlignment="1">
      <alignment horizontal="left" vertical="center" wrapText="1"/>
    </xf>
    <xf numFmtId="0" fontId="69" fillId="0" borderId="0" xfId="3" applyFont="1" applyBorder="1" applyAlignment="1">
      <alignment horizontal="left" vertical="center" wrapText="1"/>
    </xf>
    <xf numFmtId="0" fontId="81" fillId="0" borderId="0" xfId="3" applyFont="1" applyBorder="1" applyAlignment="1">
      <alignment horizontal="left" vertical="center" wrapText="1"/>
    </xf>
    <xf numFmtId="0" fontId="82" fillId="0" borderId="0" xfId="3" applyFont="1" applyBorder="1" applyAlignment="1">
      <alignment horizontal="left" vertical="center" wrapText="1"/>
    </xf>
    <xf numFmtId="0" fontId="10" fillId="0" borderId="0" xfId="0" applyFont="1" applyFill="1" applyBorder="1" applyAlignment="1">
      <alignment vertical="center"/>
    </xf>
    <xf numFmtId="0" fontId="77" fillId="0" borderId="0" xfId="3" applyFont="1" applyFill="1" applyBorder="1" applyAlignment="1">
      <alignment vertical="center"/>
    </xf>
    <xf numFmtId="0" fontId="83" fillId="0" borderId="0" xfId="3" applyFont="1" applyFill="1" applyBorder="1" applyAlignment="1">
      <alignment vertical="center"/>
    </xf>
    <xf numFmtId="1" fontId="48" fillId="0" borderId="1" xfId="4" applyNumberFormat="1" applyFont="1" applyBorder="1" applyAlignment="1">
      <alignment horizontal="right"/>
    </xf>
    <xf numFmtId="3" fontId="11" fillId="12" borderId="1" xfId="0" applyNumberFormat="1" applyFont="1" applyFill="1" applyBorder="1" applyAlignment="1">
      <alignment horizontal="right" vertical="center"/>
    </xf>
    <xf numFmtId="0" fontId="11" fillId="0" borderId="1" xfId="0" applyFont="1" applyBorder="1" applyAlignment="1">
      <alignment horizontal="right" vertical="center"/>
    </xf>
    <xf numFmtId="49" fontId="10" fillId="0" borderId="0" xfId="0" applyNumberFormat="1" applyFont="1"/>
    <xf numFmtId="3" fontId="61" fillId="0" borderId="0" xfId="0" applyNumberFormat="1" applyFont="1"/>
    <xf numFmtId="0" fontId="61" fillId="31" borderId="6" xfId="0" applyFont="1" applyFill="1" applyBorder="1" applyAlignment="1">
      <alignment horizontal="center" vertical="center" wrapText="1"/>
    </xf>
    <xf numFmtId="0" fontId="10" fillId="0" borderId="44" xfId="0" applyFont="1" applyBorder="1" applyAlignment="1">
      <alignment horizontal="right" wrapText="1"/>
    </xf>
    <xf numFmtId="0" fontId="10" fillId="31" borderId="45" xfId="0" applyFont="1" applyFill="1" applyBorder="1" applyAlignment="1">
      <alignment horizontal="center" wrapText="1"/>
    </xf>
    <xf numFmtId="0" fontId="10" fillId="31" borderId="46" xfId="0" applyFont="1" applyFill="1" applyBorder="1" applyAlignment="1">
      <alignment horizontal="center" wrapText="1"/>
    </xf>
    <xf numFmtId="0" fontId="10" fillId="31" borderId="47" xfId="0" applyFont="1" applyFill="1" applyBorder="1" applyAlignment="1">
      <alignment horizontal="center" wrapText="1"/>
    </xf>
    <xf numFmtId="0" fontId="10" fillId="31" borderId="38" xfId="0" applyFont="1" applyFill="1" applyBorder="1" applyAlignment="1">
      <alignment horizontal="center" wrapText="1"/>
    </xf>
    <xf numFmtId="0" fontId="10" fillId="0" borderId="45" xfId="0" applyFont="1" applyBorder="1" applyAlignment="1">
      <alignment horizontal="center" wrapText="1"/>
    </xf>
    <xf numFmtId="0" fontId="10" fillId="0" borderId="47" xfId="0" applyFont="1" applyBorder="1" applyAlignment="1">
      <alignment horizontal="center" wrapText="1"/>
    </xf>
    <xf numFmtId="0" fontId="10" fillId="0" borderId="38" xfId="0" applyFont="1" applyBorder="1" applyAlignment="1">
      <alignment horizontal="center" wrapText="1"/>
    </xf>
    <xf numFmtId="0" fontId="10" fillId="31" borderId="37" xfId="0" applyFont="1" applyFill="1" applyBorder="1" applyAlignment="1">
      <alignment horizontal="center" wrapText="1"/>
    </xf>
    <xf numFmtId="0" fontId="10" fillId="0" borderId="20" xfId="0" applyFont="1" applyBorder="1" applyAlignment="1">
      <alignment horizontal="center" wrapText="1"/>
    </xf>
    <xf numFmtId="0" fontId="10" fillId="30" borderId="47" xfId="0" applyFont="1" applyFill="1" applyBorder="1" applyAlignment="1">
      <alignment horizontal="center" wrapText="1"/>
    </xf>
    <xf numFmtId="0" fontId="10" fillId="30" borderId="46" xfId="0" applyFont="1" applyFill="1" applyBorder="1" applyAlignment="1">
      <alignment horizontal="center" wrapText="1"/>
    </xf>
    <xf numFmtId="0" fontId="10" fillId="30" borderId="48" xfId="0" applyFont="1" applyFill="1" applyBorder="1" applyAlignment="1">
      <alignment horizontal="center" wrapText="1"/>
    </xf>
    <xf numFmtId="0" fontId="10" fillId="0" borderId="49" xfId="0" applyFont="1" applyBorder="1" applyAlignment="1">
      <alignment horizontal="right"/>
    </xf>
    <xf numFmtId="0" fontId="10" fillId="0" borderId="50" xfId="0" applyFont="1" applyBorder="1" applyAlignment="1">
      <alignment horizontal="right"/>
    </xf>
    <xf numFmtId="0" fontId="10" fillId="31" borderId="51" xfId="0" applyFont="1" applyFill="1" applyBorder="1" applyAlignment="1">
      <alignment horizontal="right"/>
    </xf>
    <xf numFmtId="164" fontId="10" fillId="31" borderId="52" xfId="1" applyNumberFormat="1" applyFont="1" applyFill="1" applyBorder="1" applyAlignment="1">
      <alignment horizontal="right"/>
    </xf>
    <xf numFmtId="164" fontId="10" fillId="31" borderId="53" xfId="1" applyNumberFormat="1" applyFont="1" applyFill="1" applyBorder="1" applyAlignment="1">
      <alignment horizontal="right"/>
    </xf>
    <xf numFmtId="1" fontId="10" fillId="31" borderId="40" xfId="0" applyNumberFormat="1" applyFont="1" applyFill="1" applyBorder="1" applyAlignment="1">
      <alignment horizontal="right"/>
    </xf>
    <xf numFmtId="3" fontId="10" fillId="0" borderId="51" xfId="0" applyNumberFormat="1" applyFont="1" applyBorder="1" applyAlignment="1">
      <alignment horizontal="right"/>
    </xf>
    <xf numFmtId="164" fontId="10" fillId="0" borderId="53" xfId="1" applyNumberFormat="1" applyFont="1" applyBorder="1" applyAlignment="1">
      <alignment horizontal="right"/>
    </xf>
    <xf numFmtId="3" fontId="10" fillId="0" borderId="40" xfId="0" applyNumberFormat="1" applyFont="1" applyBorder="1" applyAlignment="1">
      <alignment horizontal="right"/>
    </xf>
    <xf numFmtId="3" fontId="10" fillId="31" borderId="39" xfId="0" applyNumberFormat="1" applyFont="1" applyFill="1" applyBorder="1" applyAlignment="1">
      <alignment horizontal="right"/>
    </xf>
    <xf numFmtId="3" fontId="10" fillId="30" borderId="53" xfId="0" applyNumberFormat="1" applyFont="1" applyFill="1" applyBorder="1" applyAlignment="1">
      <alignment horizontal="right"/>
    </xf>
    <xf numFmtId="164" fontId="10" fillId="30" borderId="52" xfId="1" applyNumberFormat="1" applyFont="1" applyFill="1" applyBorder="1" applyAlignment="1">
      <alignment horizontal="right"/>
    </xf>
    <xf numFmtId="1" fontId="10" fillId="30" borderId="54" xfId="0" applyNumberFormat="1" applyFont="1" applyFill="1" applyBorder="1" applyAlignment="1">
      <alignment horizontal="right"/>
    </xf>
    <xf numFmtId="3" fontId="30" fillId="33" borderId="3" xfId="0" applyNumberFormat="1" applyFont="1" applyFill="1" applyBorder="1"/>
    <xf numFmtId="3" fontId="30" fillId="33" borderId="12" xfId="0" applyNumberFormat="1" applyFont="1" applyFill="1" applyBorder="1"/>
    <xf numFmtId="0" fontId="31" fillId="33" borderId="3" xfId="0" applyFont="1" applyFill="1" applyBorder="1"/>
    <xf numFmtId="0" fontId="24" fillId="0" borderId="0" xfId="0" applyFont="1" applyFill="1" applyBorder="1" applyAlignment="1">
      <alignment horizontal="center"/>
    </xf>
    <xf numFmtId="0" fontId="22" fillId="34" borderId="0" xfId="0" applyFont="1" applyFill="1" applyBorder="1" applyAlignment="1">
      <alignment horizontal="center" wrapText="1"/>
    </xf>
    <xf numFmtId="0" fontId="61" fillId="0" borderId="0" xfId="0" applyFont="1" applyBorder="1" applyAlignment="1">
      <alignment horizontal="center" vertical="center" wrapText="1"/>
    </xf>
    <xf numFmtId="164" fontId="61" fillId="5" borderId="26" xfId="1" applyNumberFormat="1" applyFont="1" applyFill="1" applyBorder="1"/>
    <xf numFmtId="164" fontId="61" fillId="0" borderId="26" xfId="1" applyNumberFormat="1" applyFont="1" applyFill="1" applyBorder="1"/>
    <xf numFmtId="164" fontId="61" fillId="0" borderId="0" xfId="1" applyNumberFormat="1" applyFont="1" applyBorder="1"/>
    <xf numFmtId="164" fontId="61" fillId="17" borderId="26" xfId="1" applyNumberFormat="1" applyFont="1" applyFill="1" applyBorder="1"/>
    <xf numFmtId="164" fontId="61" fillId="25" borderId="26" xfId="1" applyNumberFormat="1" applyFont="1" applyFill="1" applyBorder="1"/>
    <xf numFmtId="164" fontId="61" fillId="25" borderId="28" xfId="1" applyNumberFormat="1" applyFont="1" applyFill="1" applyBorder="1"/>
    <xf numFmtId="3" fontId="61" fillId="5" borderId="56" xfId="0" applyNumberFormat="1" applyFont="1" applyFill="1" applyBorder="1"/>
    <xf numFmtId="3" fontId="61" fillId="10" borderId="57" xfId="0" applyNumberFormat="1" applyFont="1" applyFill="1" applyBorder="1"/>
    <xf numFmtId="3" fontId="61" fillId="5" borderId="57" xfId="0" applyNumberFormat="1" applyFont="1" applyFill="1" applyBorder="1"/>
    <xf numFmtId="3" fontId="61" fillId="0" borderId="57" xfId="0" applyNumberFormat="1" applyFont="1" applyFill="1" applyBorder="1"/>
    <xf numFmtId="3" fontId="61" fillId="17" borderId="57" xfId="0" applyNumberFormat="1" applyFont="1" applyFill="1" applyBorder="1"/>
    <xf numFmtId="3" fontId="61" fillId="25" borderId="57" xfId="0" applyNumberFormat="1" applyFont="1" applyFill="1" applyBorder="1"/>
    <xf numFmtId="3" fontId="61" fillId="5" borderId="55" xfId="0" applyNumberFormat="1" applyFont="1" applyFill="1" applyBorder="1"/>
    <xf numFmtId="3" fontId="61" fillId="0" borderId="58" xfId="0" applyNumberFormat="1" applyFont="1" applyFill="1" applyBorder="1"/>
    <xf numFmtId="3" fontId="61" fillId="5" borderId="58" xfId="0" applyNumberFormat="1" applyFont="1" applyFill="1" applyBorder="1"/>
    <xf numFmtId="164" fontId="22" fillId="34" borderId="29" xfId="1" applyNumberFormat="1" applyFont="1" applyFill="1" applyBorder="1" applyAlignment="1">
      <alignment vertical="center"/>
    </xf>
    <xf numFmtId="164" fontId="51" fillId="10" borderId="1" xfId="1" applyNumberFormat="1" applyFont="1" applyFill="1" applyBorder="1" applyAlignment="1">
      <alignment vertical="center"/>
    </xf>
    <xf numFmtId="3" fontId="51" fillId="10" borderId="1" xfId="0" applyNumberFormat="1" applyFont="1" applyFill="1" applyBorder="1" applyAlignment="1">
      <alignment vertical="center"/>
    </xf>
    <xf numFmtId="0" fontId="61" fillId="0" borderId="0" xfId="0" applyFont="1" applyBorder="1" applyAlignment="1">
      <alignment horizontal="center" wrapText="1"/>
    </xf>
    <xf numFmtId="0" fontId="87" fillId="0" borderId="0" xfId="0" applyFont="1"/>
    <xf numFmtId="0" fontId="87" fillId="0" borderId="0" xfId="0" applyFont="1" applyAlignment="1">
      <alignment horizontal="right"/>
    </xf>
    <xf numFmtId="0" fontId="4" fillId="0" borderId="0" xfId="0" applyFont="1" applyAlignment="1">
      <alignment horizontal="center"/>
    </xf>
    <xf numFmtId="0" fontId="26" fillId="0" borderId="0" xfId="0" applyFont="1"/>
    <xf numFmtId="3" fontId="26" fillId="0" borderId="0" xfId="0" applyNumberFormat="1" applyFont="1"/>
    <xf numFmtId="164" fontId="26" fillId="0" borderId="0" xfId="1" applyNumberFormat="1" applyFont="1"/>
    <xf numFmtId="0" fontId="85" fillId="0" borderId="44" xfId="0" applyFont="1" applyBorder="1"/>
    <xf numFmtId="9" fontId="85" fillId="0" borderId="59" xfId="4" applyFont="1" applyBorder="1"/>
    <xf numFmtId="0" fontId="85" fillId="0" borderId="50" xfId="0" applyFont="1" applyBorder="1"/>
    <xf numFmtId="9" fontId="85" fillId="19" borderId="60" xfId="4" applyFont="1" applyFill="1" applyBorder="1"/>
    <xf numFmtId="0" fontId="88" fillId="0" borderId="49" xfId="0" applyFont="1" applyBorder="1"/>
    <xf numFmtId="49" fontId="89" fillId="0" borderId="61" xfId="4" applyNumberFormat="1" applyFont="1" applyBorder="1" applyAlignment="1">
      <alignment horizontal="right"/>
    </xf>
    <xf numFmtId="0" fontId="88" fillId="0" borderId="44" xfId="0" applyFont="1" applyBorder="1"/>
    <xf numFmtId="164" fontId="88" fillId="0" borderId="59" xfId="1" applyNumberFormat="1" applyFont="1" applyBorder="1"/>
    <xf numFmtId="164" fontId="24" fillId="0" borderId="0" xfId="0" applyNumberFormat="1" applyFont="1"/>
    <xf numFmtId="0" fontId="88" fillId="22" borderId="49" xfId="0" applyFont="1" applyFill="1" applyBorder="1"/>
    <xf numFmtId="164" fontId="88" fillId="22" borderId="61" xfId="1" applyNumberFormat="1" applyFont="1" applyFill="1" applyBorder="1"/>
    <xf numFmtId="0" fontId="88" fillId="0" borderId="50" xfId="0" applyFont="1" applyBorder="1"/>
    <xf numFmtId="164" fontId="85" fillId="0" borderId="60" xfId="1" applyNumberFormat="1" applyFont="1" applyBorder="1"/>
    <xf numFmtId="0" fontId="35" fillId="34" borderId="30" xfId="0" applyFont="1" applyFill="1" applyBorder="1" applyAlignment="1">
      <alignment horizontal="right" vertical="center"/>
    </xf>
    <xf numFmtId="3" fontId="22" fillId="34" borderId="16" xfId="0" applyNumberFormat="1" applyFont="1" applyFill="1" applyBorder="1" applyAlignment="1">
      <alignment horizontal="right" vertical="center"/>
    </xf>
    <xf numFmtId="9" fontId="22" fillId="34" borderId="18" xfId="4" applyFont="1" applyFill="1" applyBorder="1" applyAlignment="1">
      <alignment horizontal="right" vertical="center"/>
    </xf>
    <xf numFmtId="1" fontId="22" fillId="34" borderId="16" xfId="0" applyNumberFormat="1" applyFont="1" applyFill="1" applyBorder="1" applyAlignment="1">
      <alignment horizontal="right" vertical="center"/>
    </xf>
    <xf numFmtId="0" fontId="64" fillId="0" borderId="0" xfId="0" applyFont="1" applyAlignment="1">
      <alignment horizontal="left"/>
    </xf>
    <xf numFmtId="0" fontId="10" fillId="0" borderId="0" xfId="0" applyFont="1" applyBorder="1" applyAlignment="1">
      <alignment horizontal="left"/>
    </xf>
    <xf numFmtId="3" fontId="36" fillId="9" borderId="49" xfId="0" applyNumberFormat="1" applyFont="1" applyFill="1" applyBorder="1" applyAlignment="1">
      <alignment horizontal="right" vertical="center"/>
    </xf>
    <xf numFmtId="9" fontId="22" fillId="19" borderId="12" xfId="4" applyFont="1" applyFill="1" applyBorder="1" applyAlignment="1">
      <alignment vertical="center"/>
    </xf>
    <xf numFmtId="3" fontId="22" fillId="26" borderId="62" xfId="0" applyNumberFormat="1" applyFont="1" applyFill="1" applyBorder="1" applyAlignment="1">
      <alignment horizontal="right" vertical="center"/>
    </xf>
    <xf numFmtId="3" fontId="36" fillId="19" borderId="12" xfId="0" applyNumberFormat="1" applyFont="1" applyFill="1" applyBorder="1" applyAlignment="1">
      <alignment horizontal="right" vertical="center"/>
    </xf>
    <xf numFmtId="9" fontId="22" fillId="19" borderId="12" xfId="4" applyFont="1" applyFill="1" applyBorder="1" applyAlignment="1">
      <alignment horizontal="right" vertical="center"/>
    </xf>
    <xf numFmtId="9" fontId="36" fillId="9" borderId="18" xfId="4" applyFont="1" applyFill="1" applyBorder="1" applyAlignment="1">
      <alignment horizontal="right" vertical="center"/>
    </xf>
    <xf numFmtId="0" fontId="22" fillId="0" borderId="0" xfId="0" applyFont="1" applyAlignment="1">
      <alignment horizontal="center"/>
    </xf>
    <xf numFmtId="15" fontId="22" fillId="0" borderId="0" xfId="0" applyNumberFormat="1" applyFont="1"/>
    <xf numFmtId="15" fontId="22" fillId="0" borderId="0" xfId="0" applyNumberFormat="1" applyFont="1" applyAlignment="1">
      <alignment horizontal="center"/>
    </xf>
    <xf numFmtId="9" fontId="22" fillId="0" borderId="12" xfId="0" applyNumberFormat="1" applyFont="1" applyBorder="1" applyAlignment="1">
      <alignment horizontal="center"/>
    </xf>
    <xf numFmtId="167" fontId="22" fillId="0" borderId="0" xfId="0" applyNumberFormat="1" applyFont="1" applyAlignment="1">
      <alignment horizontal="center"/>
    </xf>
    <xf numFmtId="0" fontId="34" fillId="10" borderId="0" xfId="0" applyFont="1" applyFill="1" applyAlignment="1">
      <alignment horizontal="left"/>
    </xf>
    <xf numFmtId="0" fontId="24" fillId="0" borderId="0" xfId="0" applyFont="1" applyAlignment="1">
      <alignment horizontal="right"/>
    </xf>
    <xf numFmtId="0" fontId="22" fillId="0" borderId="8" xfId="0" applyFont="1" applyBorder="1"/>
    <xf numFmtId="0" fontId="68" fillId="0" borderId="0" xfId="0" applyFont="1" applyAlignment="1">
      <alignment horizontal="right"/>
    </xf>
    <xf numFmtId="0" fontId="68" fillId="0" borderId="0" xfId="0" applyFont="1"/>
    <xf numFmtId="0" fontId="23" fillId="0" borderId="0" xfId="0" applyFont="1" applyAlignment="1">
      <alignment horizontal="right"/>
    </xf>
    <xf numFmtId="0" fontId="70" fillId="0" borderId="0" xfId="0" applyFont="1"/>
    <xf numFmtId="0" fontId="23" fillId="0" borderId="13" xfId="0" applyFont="1" applyBorder="1" applyAlignment="1">
      <alignment horizontal="right"/>
    </xf>
    <xf numFmtId="0" fontId="70" fillId="0" borderId="10" xfId="0" applyFont="1" applyBorder="1"/>
    <xf numFmtId="3" fontId="68" fillId="0" borderId="12" xfId="0" applyNumberFormat="1" applyFont="1" applyFill="1" applyBorder="1" applyAlignment="1">
      <alignment horizontal="center"/>
    </xf>
    <xf numFmtId="9" fontId="68" fillId="0" borderId="12" xfId="6" applyFont="1" applyFill="1" applyBorder="1" applyAlignment="1">
      <alignment horizontal="center"/>
    </xf>
    <xf numFmtId="3" fontId="68" fillId="34" borderId="12" xfId="0" applyNumberFormat="1" applyFont="1" applyFill="1" applyBorder="1" applyAlignment="1">
      <alignment horizontal="center"/>
    </xf>
    <xf numFmtId="9" fontId="68" fillId="34" borderId="12" xfId="6" applyFont="1" applyFill="1" applyBorder="1" applyAlignment="1">
      <alignment horizontal="center"/>
    </xf>
    <xf numFmtId="0" fontId="3" fillId="0" borderId="12" xfId="0" applyFont="1" applyBorder="1" applyAlignment="1">
      <alignment horizontal="center" wrapText="1"/>
    </xf>
    <xf numFmtId="1" fontId="22" fillId="34" borderId="31" xfId="0" applyNumberFormat="1" applyFont="1" applyFill="1" applyBorder="1" applyAlignment="1">
      <alignment horizontal="right" vertical="center"/>
    </xf>
    <xf numFmtId="0" fontId="22" fillId="0" borderId="0" xfId="0" applyFont="1" applyFill="1" applyBorder="1" applyAlignment="1"/>
    <xf numFmtId="0" fontId="22" fillId="0" borderId="12" xfId="0" applyFont="1" applyBorder="1" applyAlignment="1">
      <alignment horizontal="center"/>
    </xf>
    <xf numFmtId="3" fontId="90" fillId="0" borderId="12" xfId="0" applyNumberFormat="1" applyFont="1" applyFill="1" applyBorder="1" applyAlignment="1">
      <alignment horizontal="center"/>
    </xf>
    <xf numFmtId="0" fontId="10" fillId="19" borderId="63" xfId="0" applyFont="1" applyFill="1" applyBorder="1" applyAlignment="1">
      <alignment horizontal="right"/>
    </xf>
    <xf numFmtId="0" fontId="10" fillId="19" borderId="17" xfId="0" applyFont="1" applyFill="1" applyBorder="1" applyAlignment="1">
      <alignment horizontal="right"/>
    </xf>
    <xf numFmtId="9" fontId="10" fillId="19" borderId="17" xfId="4" applyFont="1" applyFill="1" applyBorder="1" applyAlignment="1">
      <alignment horizontal="right"/>
    </xf>
    <xf numFmtId="9" fontId="10" fillId="19" borderId="64" xfId="4" applyFont="1" applyFill="1" applyBorder="1" applyAlignment="1">
      <alignment horizontal="right"/>
    </xf>
    <xf numFmtId="10" fontId="65" fillId="0" borderId="65" xfId="4" applyNumberFormat="1" applyFont="1" applyFill="1" applyBorder="1" applyAlignment="1">
      <alignment horizontal="right"/>
    </xf>
    <xf numFmtId="164" fontId="25" fillId="26" borderId="12" xfId="0" applyNumberFormat="1" applyFont="1" applyFill="1" applyBorder="1"/>
    <xf numFmtId="3" fontId="25" fillId="34" borderId="12" xfId="0" applyNumberFormat="1" applyFont="1" applyFill="1" applyBorder="1"/>
    <xf numFmtId="3" fontId="25" fillId="34" borderId="19" xfId="0" applyNumberFormat="1" applyFont="1" applyFill="1" applyBorder="1"/>
    <xf numFmtId="0" fontId="25" fillId="34" borderId="1" xfId="0" applyFont="1" applyFill="1" applyBorder="1"/>
    <xf numFmtId="3" fontId="25" fillId="34" borderId="5" xfId="0" applyNumberFormat="1" applyFont="1" applyFill="1" applyBorder="1"/>
    <xf numFmtId="0" fontId="25" fillId="26" borderId="1" xfId="0" applyFont="1" applyFill="1" applyBorder="1"/>
    <xf numFmtId="164" fontId="25" fillId="26" borderId="5" xfId="0" applyNumberFormat="1" applyFont="1" applyFill="1" applyBorder="1"/>
    <xf numFmtId="164" fontId="25" fillId="26" borderId="19" xfId="0" applyNumberFormat="1" applyFont="1" applyFill="1" applyBorder="1"/>
    <xf numFmtId="0" fontId="28" fillId="20" borderId="6" xfId="0" applyFont="1" applyFill="1" applyBorder="1" applyAlignment="1">
      <alignment horizontal="center"/>
    </xf>
    <xf numFmtId="0" fontId="28" fillId="20" borderId="7" xfId="0" applyFont="1" applyFill="1" applyBorder="1" applyAlignment="1">
      <alignment horizontal="center"/>
    </xf>
    <xf numFmtId="0" fontId="28" fillId="20" borderId="8" xfId="0" applyFont="1" applyFill="1" applyBorder="1" applyAlignment="1">
      <alignment horizontal="center"/>
    </xf>
    <xf numFmtId="0" fontId="28" fillId="20" borderId="2" xfId="0" applyFont="1" applyFill="1" applyBorder="1" applyAlignment="1">
      <alignment horizontal="center"/>
    </xf>
    <xf numFmtId="0" fontId="28" fillId="20" borderId="0" xfId="0" applyFont="1" applyFill="1" applyBorder="1" applyAlignment="1">
      <alignment horizontal="center"/>
    </xf>
    <xf numFmtId="0" fontId="27" fillId="20" borderId="3" xfId="0" applyFont="1" applyFill="1" applyBorder="1" applyAlignment="1"/>
    <xf numFmtId="166" fontId="28" fillId="20" borderId="2" xfId="0" applyNumberFormat="1" applyFont="1" applyFill="1" applyBorder="1" applyAlignment="1">
      <alignment horizontal="center"/>
    </xf>
    <xf numFmtId="166" fontId="28" fillId="20" borderId="0" xfId="0" applyNumberFormat="1" applyFont="1" applyFill="1" applyBorder="1" applyAlignment="1">
      <alignment horizontal="center"/>
    </xf>
    <xf numFmtId="166" fontId="27" fillId="20" borderId="3" xfId="0" applyNumberFormat="1" applyFont="1" applyFill="1" applyBorder="1" applyAlignment="1"/>
    <xf numFmtId="15" fontId="32" fillId="20" borderId="2" xfId="0" applyNumberFormat="1" applyFont="1" applyFill="1" applyBorder="1" applyAlignment="1">
      <alignment horizontal="center"/>
    </xf>
    <xf numFmtId="0" fontId="31" fillId="20" borderId="0" xfId="0" applyFont="1" applyFill="1" applyBorder="1" applyAlignment="1"/>
    <xf numFmtId="0" fontId="31" fillId="20" borderId="3" xfId="0" applyFont="1" applyFill="1" applyBorder="1" applyAlignment="1"/>
    <xf numFmtId="0" fontId="61" fillId="0" borderId="6" xfId="0" applyFont="1" applyFill="1" applyBorder="1" applyAlignment="1">
      <alignment horizontal="center" vertical="center" wrapText="1"/>
    </xf>
    <xf numFmtId="0" fontId="61" fillId="0" borderId="7"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61" fillId="0" borderId="6"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61" fillId="30" borderId="7" xfId="0" applyFont="1" applyFill="1" applyBorder="1" applyAlignment="1">
      <alignment horizontal="center" vertical="center"/>
    </xf>
    <xf numFmtId="0" fontId="65" fillId="0" borderId="0" xfId="0" applyFont="1" applyBorder="1" applyAlignment="1">
      <alignment horizontal="center" vertical="top"/>
    </xf>
    <xf numFmtId="0" fontId="62" fillId="10" borderId="0" xfId="0" applyFont="1" applyFill="1" applyBorder="1" applyAlignment="1">
      <alignment horizontal="left" wrapText="1"/>
    </xf>
    <xf numFmtId="0" fontId="62" fillId="0" borderId="0" xfId="0" applyFont="1" applyBorder="1" applyAlignment="1">
      <alignment horizontal="left"/>
    </xf>
    <xf numFmtId="0" fontId="65" fillId="0" borderId="0" xfId="0" applyFont="1" applyBorder="1" applyAlignment="1">
      <alignment horizontal="center"/>
    </xf>
    <xf numFmtId="0" fontId="22" fillId="0" borderId="0" xfId="0" applyFont="1" applyFill="1" applyBorder="1" applyAlignment="1">
      <alignment horizontal="left" wrapText="1"/>
    </xf>
    <xf numFmtId="0" fontId="22" fillId="0" borderId="0" xfId="0" applyFont="1" applyFill="1" applyBorder="1" applyAlignment="1">
      <alignment horizontal="center"/>
    </xf>
    <xf numFmtId="0" fontId="23" fillId="0" borderId="0" xfId="0" applyFont="1" applyFill="1" applyBorder="1" applyAlignment="1">
      <alignment horizontal="center"/>
    </xf>
    <xf numFmtId="0" fontId="23" fillId="0" borderId="11" xfId="0" applyFont="1" applyFill="1" applyBorder="1" applyAlignment="1">
      <alignment horizontal="center"/>
    </xf>
    <xf numFmtId="0" fontId="71" fillId="0" borderId="0" xfId="0" applyFont="1" applyFill="1" applyBorder="1" applyAlignment="1">
      <alignment horizontal="center"/>
    </xf>
    <xf numFmtId="166" fontId="73" fillId="0" borderId="0" xfId="0" applyNumberFormat="1" applyFont="1" applyFill="1" applyBorder="1" applyAlignment="1">
      <alignment horizontal="center"/>
    </xf>
    <xf numFmtId="0" fontId="57" fillId="0" borderId="32" xfId="0" applyFont="1" applyBorder="1" applyAlignment="1">
      <alignment horizontal="center"/>
    </xf>
    <xf numFmtId="0" fontId="57" fillId="0" borderId="33" xfId="0" applyFont="1" applyBorder="1" applyAlignment="1">
      <alignment horizontal="center"/>
    </xf>
    <xf numFmtId="0" fontId="57" fillId="0" borderId="34" xfId="0" applyFont="1" applyBorder="1" applyAlignment="1">
      <alignment horizontal="center"/>
    </xf>
    <xf numFmtId="0" fontId="38" fillId="0" borderId="35" xfId="3" applyFont="1" applyBorder="1" applyAlignment="1">
      <alignment horizontal="center"/>
    </xf>
    <xf numFmtId="0" fontId="38" fillId="0" borderId="17" xfId="3" applyFont="1" applyBorder="1" applyAlignment="1">
      <alignment horizontal="center"/>
    </xf>
    <xf numFmtId="0" fontId="38" fillId="0" borderId="36" xfId="3" applyFont="1" applyBorder="1" applyAlignment="1">
      <alignment horizontal="center"/>
    </xf>
    <xf numFmtId="0" fontId="39" fillId="0" borderId="35" xfId="3" applyFont="1" applyFill="1" applyBorder="1" applyAlignment="1">
      <alignment horizontal="left" wrapText="1"/>
    </xf>
    <xf numFmtId="0" fontId="39" fillId="0" borderId="17" xfId="3" applyFont="1" applyFill="1" applyBorder="1" applyAlignment="1">
      <alignment horizontal="left" wrapText="1"/>
    </xf>
    <xf numFmtId="0" fontId="39" fillId="0" borderId="36" xfId="3" applyFont="1" applyFill="1" applyBorder="1" applyAlignment="1">
      <alignment horizontal="left" wrapText="1"/>
    </xf>
    <xf numFmtId="0" fontId="79" fillId="32" borderId="0" xfId="3" applyFont="1" applyFill="1" applyBorder="1" applyAlignment="1">
      <alignment horizontal="center" vertical="center" wrapText="1"/>
    </xf>
    <xf numFmtId="0" fontId="85" fillId="0" borderId="0" xfId="0" applyFont="1" applyAlignment="1">
      <alignment horizontal="center"/>
    </xf>
    <xf numFmtId="0" fontId="86" fillId="0" borderId="0" xfId="0" applyFont="1" applyAlignment="1">
      <alignment horizontal="center"/>
    </xf>
    <xf numFmtId="0" fontId="3" fillId="0" borderId="7" xfId="0" applyFont="1" applyBorder="1" applyAlignment="1">
      <alignment horizontal="center"/>
    </xf>
    <xf numFmtId="0" fontId="43" fillId="0" borderId="0" xfId="0" applyFont="1" applyAlignment="1">
      <alignment horizontal="left" wrapText="1"/>
    </xf>
    <xf numFmtId="0" fontId="43" fillId="0" borderId="0" xfId="0" applyFont="1" applyAlignment="1">
      <alignment horizontal="left" vertical="center" wrapText="1"/>
    </xf>
    <xf numFmtId="0" fontId="45" fillId="0" borderId="0" xfId="0" applyFont="1" applyAlignment="1">
      <alignment horizontal="center" vertical="center" wrapText="1"/>
    </xf>
    <xf numFmtId="0" fontId="43" fillId="0" borderId="0" xfId="0" applyFont="1" applyAlignment="1">
      <alignment horizontal="left"/>
    </xf>
    <xf numFmtId="0" fontId="44" fillId="0" borderId="0" xfId="0" applyFont="1" applyAlignment="1">
      <alignment horizontal="center"/>
    </xf>
    <xf numFmtId="0" fontId="39" fillId="0" borderId="0" xfId="0" applyFont="1" applyAlignment="1">
      <alignment horizontal="center" vertical="center"/>
    </xf>
    <xf numFmtId="0" fontId="0" fillId="0" borderId="0" xfId="0" applyAlignment="1"/>
    <xf numFmtId="0" fontId="22" fillId="0" borderId="13" xfId="0" applyFont="1" applyFill="1" applyBorder="1" applyAlignment="1">
      <alignment horizontal="center"/>
    </xf>
    <xf numFmtId="0" fontId="22" fillId="0" borderId="10" xfId="0" applyFont="1" applyFill="1" applyBorder="1" applyAlignment="1">
      <alignment horizontal="center"/>
    </xf>
    <xf numFmtId="0" fontId="22" fillId="0" borderId="14" xfId="0" applyFont="1" applyFill="1" applyBorder="1" applyAlignment="1">
      <alignment horizontal="center"/>
    </xf>
  </cellXfs>
  <cellStyles count="7">
    <cellStyle name="Comma" xfId="1" builtinId="3"/>
    <cellStyle name="Comma 2" xfId="2" xr:uid="{00000000-0005-0000-0000-000001000000}"/>
    <cellStyle name="Currency" xfId="5" builtinId="4"/>
    <cellStyle name="Normal" xfId="0" builtinId="0"/>
    <cellStyle name="Normal 2" xfId="3" xr:uid="{00000000-0005-0000-0000-000004000000}"/>
    <cellStyle name="Percent" xfId="4" builtinId="5"/>
    <cellStyle name="Percent 2" xfId="6" xr:uid="{00000000-0005-0000-0000-000006000000}"/>
  </cellStyles>
  <dxfs count="0"/>
  <tableStyles count="0" defaultTableStyle="TableStyleMedium9" defaultPivotStyle="PivotStyleLight16"/>
  <colors>
    <mruColors>
      <color rgb="FF99FF99"/>
      <color rgb="FFFFFF99"/>
      <color rgb="FFFF7C80"/>
      <color rgb="FFFF0066"/>
      <color rgb="FFFFCC00"/>
      <color rgb="FFFFCCFF"/>
      <color rgb="FFFF99CC"/>
      <color rgb="FF99FF66"/>
      <color rgb="FF99CC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chartsheet" Target="chartsheets/sheet7.xml"/><Relationship Id="rId18" Type="http://schemas.openxmlformats.org/officeDocument/2006/relationships/worksheet" Target="worksheets/sheet8.xml"/><Relationship Id="rId26" Type="http://schemas.openxmlformats.org/officeDocument/2006/relationships/theme" Target="theme/theme1.xml"/><Relationship Id="rId3" Type="http://schemas.openxmlformats.org/officeDocument/2006/relationships/chartsheet" Target="chartsheets/sheet1.xml"/><Relationship Id="rId21" Type="http://schemas.openxmlformats.org/officeDocument/2006/relationships/worksheet" Target="worksheets/sheet11.xml"/><Relationship Id="rId7" Type="http://schemas.openxmlformats.org/officeDocument/2006/relationships/worksheet" Target="worksheets/sheet5.xml"/><Relationship Id="rId12" Type="http://schemas.openxmlformats.org/officeDocument/2006/relationships/chartsheet" Target="chartsheets/sheet6.xml"/><Relationship Id="rId17" Type="http://schemas.openxmlformats.org/officeDocument/2006/relationships/chartsheet" Target="chartsheets/sheet10.xml"/><Relationship Id="rId25" Type="http://schemas.openxmlformats.org/officeDocument/2006/relationships/worksheet" Target="worksheets/sheet15.xml"/><Relationship Id="rId2" Type="http://schemas.openxmlformats.org/officeDocument/2006/relationships/worksheet" Target="worksheets/sheet2.xml"/><Relationship Id="rId16" Type="http://schemas.openxmlformats.org/officeDocument/2006/relationships/chartsheet" Target="chartsheets/sheet9.xml"/><Relationship Id="rId20" Type="http://schemas.openxmlformats.org/officeDocument/2006/relationships/worksheet" Target="worksheets/sheet1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worksheet" Target="worksheets/sheet14.xml"/><Relationship Id="rId5" Type="http://schemas.openxmlformats.org/officeDocument/2006/relationships/chartsheet" Target="chartsheets/sheet2.xml"/><Relationship Id="rId15" Type="http://schemas.openxmlformats.org/officeDocument/2006/relationships/chartsheet" Target="chartsheets/sheet8.xml"/><Relationship Id="rId23" Type="http://schemas.openxmlformats.org/officeDocument/2006/relationships/worksheet" Target="worksheets/sheet13.xml"/><Relationship Id="rId28" Type="http://schemas.openxmlformats.org/officeDocument/2006/relationships/sharedStrings" Target="sharedStrings.xml"/><Relationship Id="rId10" Type="http://schemas.openxmlformats.org/officeDocument/2006/relationships/worksheet" Target="worksheets/sheet6.xml"/><Relationship Id="rId19" Type="http://schemas.openxmlformats.org/officeDocument/2006/relationships/worksheet" Target="worksheets/sheet9.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7.xml"/><Relationship Id="rId22" Type="http://schemas.openxmlformats.org/officeDocument/2006/relationships/worksheet" Target="worksheets/sheet12.xml"/><Relationship Id="rId27" Type="http://schemas.openxmlformats.org/officeDocument/2006/relationships/styles" Target="styles.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Cranberry Total US Acreage</a:t>
            </a:r>
            <a:r>
              <a:rPr lang="en-US" baseline="0"/>
              <a:t> Harvested </a:t>
            </a:r>
          </a:p>
        </c:rich>
      </c:tx>
      <c:overlay val="0"/>
    </c:title>
    <c:autoTitleDeleted val="0"/>
    <c:plotArea>
      <c:layout>
        <c:manualLayout>
          <c:layoutTarget val="inner"/>
          <c:xMode val="edge"/>
          <c:yMode val="edge"/>
          <c:x val="0.12075195728127576"/>
          <c:y val="9.2479945795100452E-2"/>
          <c:w val="0.86311325615353851"/>
          <c:h val="0.77100133394869985"/>
        </c:manualLayout>
      </c:layout>
      <c:lineChart>
        <c:grouping val="standard"/>
        <c:varyColors val="0"/>
        <c:ser>
          <c:idx val="6"/>
          <c:order val="5"/>
          <c:tx>
            <c:strRef>
              <c:f>Acreage!$G$1</c:f>
              <c:strCache>
                <c:ptCount val="1"/>
                <c:pt idx="0">
                  <c:v>U.S.</c:v>
                </c:pt>
              </c:strCache>
            </c:strRef>
          </c:tx>
          <c:spPr>
            <a:ln w="50800">
              <a:solidFill>
                <a:schemeClr val="tx1"/>
              </a:solidFill>
            </a:ln>
          </c:spPr>
          <c:marker>
            <c:symbol val="none"/>
          </c:marker>
          <c:cat>
            <c:strRef>
              <c:f>Acreage!$A$2:$A$21</c:f>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 EST</c:v>
                </c:pt>
              </c:strCache>
            </c:strRef>
          </c:cat>
          <c:val>
            <c:numRef>
              <c:f>Acreage!$G$2:$G$21</c:f>
              <c:numCache>
                <c:formatCode>_(* #,##0_);_(* \(#,##0\);_(* "-"??_);_(@_)</c:formatCode>
                <c:ptCount val="20"/>
                <c:pt idx="0">
                  <c:v>36600</c:v>
                </c:pt>
                <c:pt idx="1">
                  <c:v>35600</c:v>
                </c:pt>
                <c:pt idx="2">
                  <c:v>39400</c:v>
                </c:pt>
                <c:pt idx="3">
                  <c:v>39600</c:v>
                </c:pt>
                <c:pt idx="4">
                  <c:v>39200</c:v>
                </c:pt>
                <c:pt idx="5">
                  <c:v>39000</c:v>
                </c:pt>
                <c:pt idx="6">
                  <c:v>39000</c:v>
                </c:pt>
                <c:pt idx="7">
                  <c:v>38100</c:v>
                </c:pt>
                <c:pt idx="8">
                  <c:v>38200</c:v>
                </c:pt>
                <c:pt idx="9">
                  <c:v>38500</c:v>
                </c:pt>
                <c:pt idx="10">
                  <c:v>38500</c:v>
                </c:pt>
                <c:pt idx="11">
                  <c:v>38500</c:v>
                </c:pt>
                <c:pt idx="12">
                  <c:v>40300</c:v>
                </c:pt>
                <c:pt idx="13">
                  <c:v>42000</c:v>
                </c:pt>
                <c:pt idx="14">
                  <c:v>40600</c:v>
                </c:pt>
                <c:pt idx="15">
                  <c:v>40900</c:v>
                </c:pt>
                <c:pt idx="16">
                  <c:v>41500</c:v>
                </c:pt>
                <c:pt idx="17">
                  <c:v>39700</c:v>
                </c:pt>
                <c:pt idx="18">
                  <c:v>40800</c:v>
                </c:pt>
                <c:pt idx="19">
                  <c:v>40800</c:v>
                </c:pt>
              </c:numCache>
            </c:numRef>
          </c:val>
          <c:smooth val="0"/>
          <c:extLst>
            <c:ext xmlns:c16="http://schemas.microsoft.com/office/drawing/2014/chart" uri="{C3380CC4-5D6E-409C-BE32-E72D297353CC}">
              <c16:uniqueId val="{00000005-E80A-45F4-8729-E0BCAD249739}"/>
            </c:ext>
          </c:extLst>
        </c:ser>
        <c:dLbls>
          <c:showLegendKey val="0"/>
          <c:showVal val="0"/>
          <c:showCatName val="0"/>
          <c:showSerName val="0"/>
          <c:showPercent val="0"/>
          <c:showBubbleSize val="0"/>
        </c:dLbls>
        <c:smooth val="0"/>
        <c:axId val="471156208"/>
        <c:axId val="471151112"/>
        <c:extLst>
          <c:ext xmlns:c15="http://schemas.microsoft.com/office/drawing/2012/chart" uri="{02D57815-91ED-43cb-92C2-25804820EDAC}">
            <c15:filteredLineSeries>
              <c15:ser>
                <c:idx val="1"/>
                <c:order val="0"/>
                <c:tx>
                  <c:strRef>
                    <c:extLst>
                      <c:ext uri="{02D57815-91ED-43cb-92C2-25804820EDAC}">
                        <c15:formulaRef>
                          <c15:sqref>Acreage!$B$1</c15:sqref>
                        </c15:formulaRef>
                      </c:ext>
                    </c:extLst>
                    <c:strCache>
                      <c:ptCount val="1"/>
                      <c:pt idx="0">
                        <c:v>Massachusetts</c:v>
                      </c:pt>
                    </c:strCache>
                  </c:strRef>
                </c:tx>
                <c:spPr>
                  <a:ln w="50800">
                    <a:solidFill>
                      <a:srgbClr val="FFFF00"/>
                    </a:solidFill>
                  </a:ln>
                </c:spPr>
                <c:marker>
                  <c:symbol val="none"/>
                </c:marker>
                <c:cat>
                  <c:strRef>
                    <c:extLst>
                      <c:ext uri="{02D57815-91ED-43cb-92C2-25804820EDAC}">
                        <c15:formulaRef>
                          <c15:sqref>Acreage!$A$2:$A$21</c15:sqref>
                        </c15:formulaRef>
                      </c:ext>
                    </c:extLst>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 EST</c:v>
                      </c:pt>
                    </c:strCache>
                  </c:strRef>
                </c:cat>
                <c:val>
                  <c:numRef>
                    <c:extLst>
                      <c:ext uri="{02D57815-91ED-43cb-92C2-25804820EDAC}">
                        <c15:formulaRef>
                          <c15:sqref>Acreage!$B$2:$B$21</c15:sqref>
                        </c15:formulaRef>
                      </c:ext>
                    </c:extLst>
                    <c:numCache>
                      <c:formatCode>_(* #,##0_);_(* \(#,##0\);_(* "-"??_);_(@_)</c:formatCode>
                      <c:ptCount val="20"/>
                      <c:pt idx="0">
                        <c:v>13900</c:v>
                      </c:pt>
                      <c:pt idx="1">
                        <c:v>12000</c:v>
                      </c:pt>
                      <c:pt idx="2">
                        <c:v>14500</c:v>
                      </c:pt>
                      <c:pt idx="3">
                        <c:v>14400</c:v>
                      </c:pt>
                      <c:pt idx="4">
                        <c:v>14100</c:v>
                      </c:pt>
                      <c:pt idx="5">
                        <c:v>14100</c:v>
                      </c:pt>
                      <c:pt idx="6">
                        <c:v>14000</c:v>
                      </c:pt>
                      <c:pt idx="7">
                        <c:v>13000</c:v>
                      </c:pt>
                      <c:pt idx="8">
                        <c:v>13000</c:v>
                      </c:pt>
                      <c:pt idx="9">
                        <c:v>13000</c:v>
                      </c:pt>
                      <c:pt idx="10">
                        <c:v>13000</c:v>
                      </c:pt>
                      <c:pt idx="11">
                        <c:v>13000</c:v>
                      </c:pt>
                      <c:pt idx="12">
                        <c:v>13000</c:v>
                      </c:pt>
                      <c:pt idx="13">
                        <c:v>13200</c:v>
                      </c:pt>
                      <c:pt idx="14">
                        <c:v>12400</c:v>
                      </c:pt>
                      <c:pt idx="15">
                        <c:v>13200</c:v>
                      </c:pt>
                      <c:pt idx="16">
                        <c:v>12900</c:v>
                      </c:pt>
                      <c:pt idx="17">
                        <c:v>12300</c:v>
                      </c:pt>
                      <c:pt idx="18">
                        <c:v>12700</c:v>
                      </c:pt>
                      <c:pt idx="19">
                        <c:v>12700</c:v>
                      </c:pt>
                    </c:numCache>
                  </c:numRef>
                </c:val>
                <c:smooth val="0"/>
                <c:extLst>
                  <c:ext xmlns:c16="http://schemas.microsoft.com/office/drawing/2014/chart" uri="{C3380CC4-5D6E-409C-BE32-E72D297353CC}">
                    <c16:uniqueId val="{00000000-E80A-45F4-8729-E0BCAD249739}"/>
                  </c:ext>
                </c:extLst>
              </c15:ser>
            </c15:filteredLineSeries>
            <c15:filteredLineSeries>
              <c15:ser>
                <c:idx val="2"/>
                <c:order val="1"/>
                <c:tx>
                  <c:strRef>
                    <c:extLst xmlns:c15="http://schemas.microsoft.com/office/drawing/2012/chart">
                      <c:ext xmlns:c15="http://schemas.microsoft.com/office/drawing/2012/chart" uri="{02D57815-91ED-43cb-92C2-25804820EDAC}">
                        <c15:formulaRef>
                          <c15:sqref>Acreage!$C$1</c15:sqref>
                        </c15:formulaRef>
                      </c:ext>
                    </c:extLst>
                    <c:strCache>
                      <c:ptCount val="1"/>
                      <c:pt idx="0">
                        <c:v>New Jersey</c:v>
                      </c:pt>
                    </c:strCache>
                  </c:strRef>
                </c:tx>
                <c:spPr>
                  <a:ln w="50800">
                    <a:solidFill>
                      <a:srgbClr val="00B050"/>
                    </a:solidFill>
                  </a:ln>
                </c:spPr>
                <c:marker>
                  <c:symbol val="none"/>
                </c:marker>
                <c:cat>
                  <c:strRef>
                    <c:extLst xmlns:c15="http://schemas.microsoft.com/office/drawing/2012/chart">
                      <c:ext xmlns:c15="http://schemas.microsoft.com/office/drawing/2012/chart" uri="{02D57815-91ED-43cb-92C2-25804820EDAC}">
                        <c15:formulaRef>
                          <c15:sqref>Acreage!$A$2:$A$21</c15:sqref>
                        </c15:formulaRef>
                      </c:ext>
                    </c:extLst>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 EST</c:v>
                      </c:pt>
                    </c:strCache>
                  </c:strRef>
                </c:cat>
                <c:val>
                  <c:numRef>
                    <c:extLst xmlns:c15="http://schemas.microsoft.com/office/drawing/2012/chart">
                      <c:ext xmlns:c15="http://schemas.microsoft.com/office/drawing/2012/chart" uri="{02D57815-91ED-43cb-92C2-25804820EDAC}">
                        <c15:formulaRef>
                          <c15:sqref>Acreage!$C$2:$C$21</c15:sqref>
                        </c15:formulaRef>
                      </c:ext>
                    </c:extLst>
                    <c:numCache>
                      <c:formatCode>_(* #,##0_);_(* \(#,##0\);_(* "-"??_);_(@_)</c:formatCode>
                      <c:ptCount val="20"/>
                      <c:pt idx="0">
                        <c:v>3700</c:v>
                      </c:pt>
                      <c:pt idx="1">
                        <c:v>3100</c:v>
                      </c:pt>
                      <c:pt idx="2">
                        <c:v>3100</c:v>
                      </c:pt>
                      <c:pt idx="3">
                        <c:v>3200</c:v>
                      </c:pt>
                      <c:pt idx="4">
                        <c:v>3100</c:v>
                      </c:pt>
                      <c:pt idx="5">
                        <c:v>3100</c:v>
                      </c:pt>
                      <c:pt idx="6">
                        <c:v>3100</c:v>
                      </c:pt>
                      <c:pt idx="7">
                        <c:v>3100</c:v>
                      </c:pt>
                      <c:pt idx="8">
                        <c:v>3100</c:v>
                      </c:pt>
                      <c:pt idx="9">
                        <c:v>3100</c:v>
                      </c:pt>
                      <c:pt idx="10">
                        <c:v>3000</c:v>
                      </c:pt>
                      <c:pt idx="11">
                        <c:v>3000</c:v>
                      </c:pt>
                      <c:pt idx="12">
                        <c:v>3000</c:v>
                      </c:pt>
                      <c:pt idx="13">
                        <c:v>3000</c:v>
                      </c:pt>
                      <c:pt idx="14">
                        <c:v>3000</c:v>
                      </c:pt>
                      <c:pt idx="15">
                        <c:v>3000</c:v>
                      </c:pt>
                      <c:pt idx="16">
                        <c:v>3100</c:v>
                      </c:pt>
                      <c:pt idx="17">
                        <c:v>2500</c:v>
                      </c:pt>
                      <c:pt idx="18">
                        <c:v>3100</c:v>
                      </c:pt>
                      <c:pt idx="19">
                        <c:v>3100</c:v>
                      </c:pt>
                    </c:numCache>
                  </c:numRef>
                </c:val>
                <c:smooth val="0"/>
                <c:extLst xmlns:c15="http://schemas.microsoft.com/office/drawing/2012/chart">
                  <c:ext xmlns:c16="http://schemas.microsoft.com/office/drawing/2014/chart" uri="{C3380CC4-5D6E-409C-BE32-E72D297353CC}">
                    <c16:uniqueId val="{00000001-E80A-45F4-8729-E0BCAD249739}"/>
                  </c:ext>
                </c:extLst>
              </c15:ser>
            </c15:filteredLineSeries>
            <c15:filteredLineSeries>
              <c15:ser>
                <c:idx val="3"/>
                <c:order val="2"/>
                <c:tx>
                  <c:strRef>
                    <c:extLst xmlns:c15="http://schemas.microsoft.com/office/drawing/2012/chart">
                      <c:ext xmlns:c15="http://schemas.microsoft.com/office/drawing/2012/chart" uri="{02D57815-91ED-43cb-92C2-25804820EDAC}">
                        <c15:formulaRef>
                          <c15:sqref>Acreage!$D$1</c15:sqref>
                        </c15:formulaRef>
                      </c:ext>
                    </c:extLst>
                    <c:strCache>
                      <c:ptCount val="1"/>
                      <c:pt idx="0">
                        <c:v>Oregon</c:v>
                      </c:pt>
                    </c:strCache>
                  </c:strRef>
                </c:tx>
                <c:spPr>
                  <a:ln w="50800">
                    <a:solidFill>
                      <a:srgbClr val="7030A0"/>
                    </a:solidFill>
                  </a:ln>
                </c:spPr>
                <c:marker>
                  <c:symbol val="none"/>
                </c:marker>
                <c:cat>
                  <c:strRef>
                    <c:extLst xmlns:c15="http://schemas.microsoft.com/office/drawing/2012/chart">
                      <c:ext xmlns:c15="http://schemas.microsoft.com/office/drawing/2012/chart" uri="{02D57815-91ED-43cb-92C2-25804820EDAC}">
                        <c15:formulaRef>
                          <c15:sqref>Acreage!$A$2:$A$21</c15:sqref>
                        </c15:formulaRef>
                      </c:ext>
                    </c:extLst>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 EST</c:v>
                      </c:pt>
                    </c:strCache>
                  </c:strRef>
                </c:cat>
                <c:val>
                  <c:numRef>
                    <c:extLst xmlns:c15="http://schemas.microsoft.com/office/drawing/2012/chart">
                      <c:ext xmlns:c15="http://schemas.microsoft.com/office/drawing/2012/chart" uri="{02D57815-91ED-43cb-92C2-25804820EDAC}">
                        <c15:formulaRef>
                          <c15:sqref>Acreage!$D$2:$D$21</c15:sqref>
                        </c15:formulaRef>
                      </c:ext>
                    </c:extLst>
                    <c:numCache>
                      <c:formatCode>_(* #,##0_);_(* \(#,##0\);_(* "-"??_);_(@_)</c:formatCode>
                      <c:ptCount val="20"/>
                      <c:pt idx="0">
                        <c:v>2400</c:v>
                      </c:pt>
                      <c:pt idx="1">
                        <c:v>2400</c:v>
                      </c:pt>
                      <c:pt idx="2">
                        <c:v>2800</c:v>
                      </c:pt>
                      <c:pt idx="3">
                        <c:v>2900</c:v>
                      </c:pt>
                      <c:pt idx="4">
                        <c:v>2900</c:v>
                      </c:pt>
                      <c:pt idx="5">
                        <c:v>2700</c:v>
                      </c:pt>
                      <c:pt idx="6">
                        <c:v>2700</c:v>
                      </c:pt>
                      <c:pt idx="7">
                        <c:v>2700</c:v>
                      </c:pt>
                      <c:pt idx="8">
                        <c:v>2700</c:v>
                      </c:pt>
                      <c:pt idx="9">
                        <c:v>2700</c:v>
                      </c:pt>
                      <c:pt idx="10">
                        <c:v>2700</c:v>
                      </c:pt>
                      <c:pt idx="11">
                        <c:v>2800</c:v>
                      </c:pt>
                      <c:pt idx="12">
                        <c:v>2900</c:v>
                      </c:pt>
                      <c:pt idx="13">
                        <c:v>3000</c:v>
                      </c:pt>
                      <c:pt idx="14">
                        <c:v>2900</c:v>
                      </c:pt>
                      <c:pt idx="15">
                        <c:v>2900</c:v>
                      </c:pt>
                      <c:pt idx="16">
                        <c:v>2800</c:v>
                      </c:pt>
                      <c:pt idx="17">
                        <c:v>2800</c:v>
                      </c:pt>
                      <c:pt idx="18">
                        <c:v>2800</c:v>
                      </c:pt>
                      <c:pt idx="19">
                        <c:v>2800</c:v>
                      </c:pt>
                    </c:numCache>
                  </c:numRef>
                </c:val>
                <c:smooth val="0"/>
                <c:extLst xmlns:c15="http://schemas.microsoft.com/office/drawing/2012/chart">
                  <c:ext xmlns:c16="http://schemas.microsoft.com/office/drawing/2014/chart" uri="{C3380CC4-5D6E-409C-BE32-E72D297353CC}">
                    <c16:uniqueId val="{00000002-E80A-45F4-8729-E0BCAD249739}"/>
                  </c:ext>
                </c:extLst>
              </c15:ser>
            </c15:filteredLineSeries>
            <c15:filteredLineSeries>
              <c15:ser>
                <c:idx val="4"/>
                <c:order val="3"/>
                <c:tx>
                  <c:strRef>
                    <c:extLst xmlns:c15="http://schemas.microsoft.com/office/drawing/2012/chart">
                      <c:ext xmlns:c15="http://schemas.microsoft.com/office/drawing/2012/chart" uri="{02D57815-91ED-43cb-92C2-25804820EDAC}">
                        <c15:formulaRef>
                          <c15:sqref>Acreage!$E$1</c15:sqref>
                        </c15:formulaRef>
                      </c:ext>
                    </c:extLst>
                    <c:strCache>
                      <c:ptCount val="1"/>
                      <c:pt idx="0">
                        <c:v>Washington</c:v>
                      </c:pt>
                    </c:strCache>
                  </c:strRef>
                </c:tx>
                <c:spPr>
                  <a:ln w="50800">
                    <a:solidFill>
                      <a:schemeClr val="accent6"/>
                    </a:solidFill>
                  </a:ln>
                </c:spPr>
                <c:marker>
                  <c:symbol val="none"/>
                </c:marker>
                <c:cat>
                  <c:strRef>
                    <c:extLst xmlns:c15="http://schemas.microsoft.com/office/drawing/2012/chart">
                      <c:ext xmlns:c15="http://schemas.microsoft.com/office/drawing/2012/chart" uri="{02D57815-91ED-43cb-92C2-25804820EDAC}">
                        <c15:formulaRef>
                          <c15:sqref>Acreage!$A$2:$A$21</c15:sqref>
                        </c15:formulaRef>
                      </c:ext>
                    </c:extLst>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 EST</c:v>
                      </c:pt>
                    </c:strCache>
                  </c:strRef>
                </c:cat>
                <c:val>
                  <c:numRef>
                    <c:extLst xmlns:c15="http://schemas.microsoft.com/office/drawing/2012/chart">
                      <c:ext xmlns:c15="http://schemas.microsoft.com/office/drawing/2012/chart" uri="{02D57815-91ED-43cb-92C2-25804820EDAC}">
                        <c15:formulaRef>
                          <c15:sqref>Acreage!$E$2:$E$21</c15:sqref>
                        </c15:formulaRef>
                      </c:ext>
                    </c:extLst>
                    <c:numCache>
                      <c:formatCode>_(* #,##0_);_(* \(#,##0\);_(* "-"??_);_(@_)</c:formatCode>
                      <c:ptCount val="20"/>
                      <c:pt idx="0">
                        <c:v>1500</c:v>
                      </c:pt>
                      <c:pt idx="1">
                        <c:v>1600</c:v>
                      </c:pt>
                      <c:pt idx="2">
                        <c:v>1700</c:v>
                      </c:pt>
                      <c:pt idx="3">
                        <c:v>1700</c:v>
                      </c:pt>
                      <c:pt idx="4">
                        <c:v>1700</c:v>
                      </c:pt>
                      <c:pt idx="5">
                        <c:v>1700</c:v>
                      </c:pt>
                      <c:pt idx="6">
                        <c:v>1700</c:v>
                      </c:pt>
                      <c:pt idx="7">
                        <c:v>1700</c:v>
                      </c:pt>
                      <c:pt idx="8">
                        <c:v>1700</c:v>
                      </c:pt>
                      <c:pt idx="9">
                        <c:v>1700</c:v>
                      </c:pt>
                      <c:pt idx="10">
                        <c:v>1700</c:v>
                      </c:pt>
                      <c:pt idx="11">
                        <c:v>1700</c:v>
                      </c:pt>
                      <c:pt idx="12">
                        <c:v>1700</c:v>
                      </c:pt>
                      <c:pt idx="13">
                        <c:v>1700</c:v>
                      </c:pt>
                      <c:pt idx="14">
                        <c:v>1600</c:v>
                      </c:pt>
                      <c:pt idx="15">
                        <c:v>1600</c:v>
                      </c:pt>
                      <c:pt idx="16">
                        <c:v>1600</c:v>
                      </c:pt>
                      <c:pt idx="17">
                        <c:v>1500</c:v>
                      </c:pt>
                      <c:pt idx="18">
                        <c:v>1500</c:v>
                      </c:pt>
                      <c:pt idx="19">
                        <c:v>1500</c:v>
                      </c:pt>
                    </c:numCache>
                  </c:numRef>
                </c:val>
                <c:smooth val="0"/>
                <c:extLst xmlns:c15="http://schemas.microsoft.com/office/drawing/2012/chart">
                  <c:ext xmlns:c16="http://schemas.microsoft.com/office/drawing/2014/chart" uri="{C3380CC4-5D6E-409C-BE32-E72D297353CC}">
                    <c16:uniqueId val="{00000003-E80A-45F4-8729-E0BCAD249739}"/>
                  </c:ext>
                </c:extLst>
              </c15:ser>
            </c15:filteredLineSeries>
            <c15:filteredLineSeries>
              <c15:ser>
                <c:idx val="5"/>
                <c:order val="4"/>
                <c:tx>
                  <c:strRef>
                    <c:extLst xmlns:c15="http://schemas.microsoft.com/office/drawing/2012/chart">
                      <c:ext xmlns:c15="http://schemas.microsoft.com/office/drawing/2012/chart" uri="{02D57815-91ED-43cb-92C2-25804820EDAC}">
                        <c15:formulaRef>
                          <c15:sqref>Acreage!$F$1</c15:sqref>
                        </c15:formulaRef>
                      </c:ext>
                    </c:extLst>
                    <c:strCache>
                      <c:ptCount val="1"/>
                      <c:pt idx="0">
                        <c:v>Wisconsin</c:v>
                      </c:pt>
                    </c:strCache>
                  </c:strRef>
                </c:tx>
                <c:spPr>
                  <a:ln w="50800">
                    <a:solidFill>
                      <a:srgbClr val="FF0000"/>
                    </a:solidFill>
                  </a:ln>
                </c:spPr>
                <c:marker>
                  <c:symbol val="none"/>
                </c:marker>
                <c:cat>
                  <c:strRef>
                    <c:extLst xmlns:c15="http://schemas.microsoft.com/office/drawing/2012/chart">
                      <c:ext xmlns:c15="http://schemas.microsoft.com/office/drawing/2012/chart" uri="{02D57815-91ED-43cb-92C2-25804820EDAC}">
                        <c15:formulaRef>
                          <c15:sqref>Acreage!$A$2:$A$21</c15:sqref>
                        </c15:formulaRef>
                      </c:ext>
                    </c:extLst>
                    <c:strCache>
                      <c:ptCount val="20"/>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 EST</c:v>
                      </c:pt>
                    </c:strCache>
                  </c:strRef>
                </c:cat>
                <c:val>
                  <c:numRef>
                    <c:extLst xmlns:c15="http://schemas.microsoft.com/office/drawing/2012/chart">
                      <c:ext xmlns:c15="http://schemas.microsoft.com/office/drawing/2012/chart" uri="{02D57815-91ED-43cb-92C2-25804820EDAC}">
                        <c15:formulaRef>
                          <c15:sqref>Acreage!$F$2:$F$21</c15:sqref>
                        </c15:formulaRef>
                      </c:ext>
                    </c:extLst>
                    <c:numCache>
                      <c:formatCode>_(* #,##0_);_(* \(#,##0\);_(* "-"??_);_(@_)</c:formatCode>
                      <c:ptCount val="20"/>
                      <c:pt idx="0">
                        <c:v>15100</c:v>
                      </c:pt>
                      <c:pt idx="1">
                        <c:v>16500</c:v>
                      </c:pt>
                      <c:pt idx="2">
                        <c:v>17300</c:v>
                      </c:pt>
                      <c:pt idx="3">
                        <c:v>17400</c:v>
                      </c:pt>
                      <c:pt idx="4">
                        <c:v>17400</c:v>
                      </c:pt>
                      <c:pt idx="5">
                        <c:v>17400</c:v>
                      </c:pt>
                      <c:pt idx="6">
                        <c:v>17500</c:v>
                      </c:pt>
                      <c:pt idx="7">
                        <c:v>17600</c:v>
                      </c:pt>
                      <c:pt idx="8">
                        <c:v>17700</c:v>
                      </c:pt>
                      <c:pt idx="9">
                        <c:v>18000</c:v>
                      </c:pt>
                      <c:pt idx="10">
                        <c:v>18000</c:v>
                      </c:pt>
                      <c:pt idx="11">
                        <c:v>18000</c:v>
                      </c:pt>
                      <c:pt idx="12">
                        <c:v>19700</c:v>
                      </c:pt>
                      <c:pt idx="13">
                        <c:v>21100</c:v>
                      </c:pt>
                      <c:pt idx="14">
                        <c:v>20700</c:v>
                      </c:pt>
                      <c:pt idx="15">
                        <c:v>20200</c:v>
                      </c:pt>
                      <c:pt idx="16">
                        <c:v>21100</c:v>
                      </c:pt>
                      <c:pt idx="17">
                        <c:v>20600</c:v>
                      </c:pt>
                      <c:pt idx="18">
                        <c:v>20700</c:v>
                      </c:pt>
                      <c:pt idx="19">
                        <c:v>20700</c:v>
                      </c:pt>
                    </c:numCache>
                  </c:numRef>
                </c:val>
                <c:smooth val="0"/>
                <c:extLst xmlns:c15="http://schemas.microsoft.com/office/drawing/2012/chart">
                  <c:ext xmlns:c16="http://schemas.microsoft.com/office/drawing/2014/chart" uri="{C3380CC4-5D6E-409C-BE32-E72D297353CC}">
                    <c16:uniqueId val="{00000004-E80A-45F4-8729-E0BCAD249739}"/>
                  </c:ext>
                </c:extLst>
              </c15:ser>
            </c15:filteredLineSeries>
          </c:ext>
        </c:extLst>
      </c:lineChart>
      <c:catAx>
        <c:axId val="471156208"/>
        <c:scaling>
          <c:orientation val="minMax"/>
        </c:scaling>
        <c:delete val="0"/>
        <c:axPos val="b"/>
        <c:numFmt formatCode="General" sourceLinked="1"/>
        <c:majorTickMark val="out"/>
        <c:minorTickMark val="none"/>
        <c:tickLblPos val="nextTo"/>
        <c:txPr>
          <a:bodyPr/>
          <a:lstStyle/>
          <a:p>
            <a:pPr>
              <a:defRPr sz="1600" b="1"/>
            </a:pPr>
            <a:endParaRPr lang="en-US"/>
          </a:p>
        </c:txPr>
        <c:crossAx val="471151112"/>
        <c:crosses val="autoZero"/>
        <c:auto val="1"/>
        <c:lblAlgn val="ctr"/>
        <c:lblOffset val="100"/>
        <c:tickLblSkip val="4"/>
        <c:noMultiLvlLbl val="0"/>
      </c:catAx>
      <c:valAx>
        <c:axId val="471151112"/>
        <c:scaling>
          <c:orientation val="minMax"/>
          <c:min val="35000"/>
        </c:scaling>
        <c:delete val="0"/>
        <c:axPos val="l"/>
        <c:majorGridlines/>
        <c:title>
          <c:tx>
            <c:rich>
              <a:bodyPr rot="-5400000" vert="horz"/>
              <a:lstStyle/>
              <a:p>
                <a:pPr>
                  <a:defRPr sz="1600"/>
                </a:pPr>
                <a:r>
                  <a:rPr lang="en-US" sz="1600"/>
                  <a:t>Thousands</a:t>
                </a:r>
                <a:r>
                  <a:rPr lang="en-US" sz="1600" baseline="0"/>
                  <a:t> of </a:t>
                </a:r>
                <a:r>
                  <a:rPr lang="en-US" sz="1600"/>
                  <a:t>Acres</a:t>
                </a:r>
              </a:p>
            </c:rich>
          </c:tx>
          <c:layout>
            <c:manualLayout>
              <c:xMode val="edge"/>
              <c:yMode val="edge"/>
              <c:x val="2.0535182901145501E-2"/>
              <c:y val="0.3437645818550818"/>
            </c:manualLayout>
          </c:layout>
          <c:overlay val="0"/>
        </c:title>
        <c:numFmt formatCode="_(* #,##0_);_(* \(#,##0\);_(* &quot;-&quot;??_);_(@_)" sourceLinked="1"/>
        <c:majorTickMark val="out"/>
        <c:minorTickMark val="none"/>
        <c:tickLblPos val="nextTo"/>
        <c:txPr>
          <a:bodyPr/>
          <a:lstStyle/>
          <a:p>
            <a:pPr>
              <a:defRPr sz="1600" b="1"/>
            </a:pPr>
            <a:endParaRPr lang="en-US"/>
          </a:p>
        </c:txPr>
        <c:crossAx val="471156208"/>
        <c:crosses val="autoZero"/>
        <c:crossBetween val="between"/>
        <c:dispUnits>
          <c:builtInUnit val="thousands"/>
        </c:dispUnits>
      </c:valAx>
    </c:plotArea>
    <c:plotVisOnly val="1"/>
    <c:dispBlanksAs val="gap"/>
    <c:showDLblsOverMax val="0"/>
  </c:char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Carry-Out Inventory as a Percent of Total Utilization</a:t>
            </a:r>
          </a:p>
        </c:rich>
      </c:tx>
      <c:overlay val="0"/>
    </c:title>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tx>
            <c:strRef>
              <c:f>'Total Available Supply and Sale'!$L$2</c:f>
              <c:strCache>
                <c:ptCount val="1"/>
                <c:pt idx="0">
                  <c:v>Carry-out Inventory % of Total Utilization</c:v>
                </c:pt>
              </c:strCache>
            </c:strRef>
          </c:tx>
          <c:invertIfNegative val="0"/>
          <c:dLbls>
            <c:dLbl>
              <c:idx val="11"/>
              <c:layout>
                <c:manualLayout>
                  <c:x val="2.3494860499265892E-2"/>
                  <c:y val="-2.026342451874441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138-4044-99FA-B41FED478451}"/>
                </c:ext>
              </c:extLst>
            </c:dLbl>
            <c:dLbl>
              <c:idx val="25"/>
              <c:layout>
                <c:manualLayout>
                  <c:x val="1.8986357474546342E-2"/>
                  <c:y val="1.1959927096858736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138-4044-99FA-B41FED478451}"/>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138-4044-99FA-B41FED478451}"/>
                </c:ext>
              </c:extLst>
            </c:dLbl>
            <c:dLbl>
              <c:idx val="27"/>
              <c:layout>
                <c:manualLayout>
                  <c:x val="2.3381961870150743E-2"/>
                  <c:y val="-2.15516933303155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138-4044-99FA-B41FED478451}"/>
                </c:ext>
              </c:extLst>
            </c:dLbl>
            <c:dLbl>
              <c:idx val="28"/>
              <c:layout>
                <c:manualLayout>
                  <c:x val="8.7912087912087912E-3"/>
                  <c:y val="-2.0170663235930786E-3"/>
                </c:manualLayout>
              </c:layout>
              <c:numFmt formatCode="0%" sourceLinked="0"/>
              <c:spPr>
                <a:noFill/>
                <a:ln>
                  <a:noFill/>
                </a:ln>
                <a:effectLst/>
              </c:spPr>
              <c:txPr>
                <a:bodyPr wrap="square" lIns="38100" tIns="19050" rIns="38100" bIns="19050" anchor="ctr">
                  <a:noAutofit/>
                </a:bodyPr>
                <a:lstStyle/>
                <a:p>
                  <a:pPr>
                    <a:defRPr sz="1200"/>
                  </a:pPr>
                  <a:endParaRPr lang="en-US"/>
                </a:p>
              </c:txPr>
              <c:showLegendKey val="0"/>
              <c:showVal val="1"/>
              <c:showCatName val="0"/>
              <c:showSerName val="0"/>
              <c:showPercent val="0"/>
              <c:showBubbleSize val="0"/>
              <c:extLst>
                <c:ext xmlns:c15="http://schemas.microsoft.com/office/drawing/2012/chart" uri="{CE6537A1-D6FC-4f65-9D91-7224C49458BB}">
                  <c15:layout>
                    <c:manualLayout>
                      <c:w val="3.9179487179487181E-2"/>
                      <c:h val="3.3585476550680782E-2"/>
                    </c:manualLayout>
                  </c15:layout>
                </c:ext>
                <c:ext xmlns:c16="http://schemas.microsoft.com/office/drawing/2014/chart" uri="{C3380CC4-5D6E-409C-BE32-E72D297353CC}">
                  <c16:uniqueId val="{00000004-7138-4044-99FA-B41FED478451}"/>
                </c:ext>
              </c:extLst>
            </c:dLbl>
            <c:dLbl>
              <c:idx val="2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138-4044-99FA-B41FED478451}"/>
                </c:ext>
              </c:extLst>
            </c:dLbl>
            <c:dLbl>
              <c:idx val="30"/>
              <c:layout>
                <c:manualLayout>
                  <c:x val="1.4652014652014544E-2"/>
                  <c:y val="-1.84902890040835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80-48C2-9C44-7FA994400119}"/>
                </c:ext>
              </c:extLst>
            </c:dLbl>
            <c:numFmt formatCode="0%" sourceLinked="0"/>
            <c:spPr>
              <a:noFill/>
              <a:ln>
                <a:noFill/>
              </a:ln>
              <a:effectLst/>
            </c:spPr>
            <c:txPr>
              <a:bodyPr wrap="square" lIns="38100" tIns="19050" rIns="38100" bIns="19050" anchor="ctr">
                <a:spAutoFit/>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1"/>
              </c:ext>
            </c:extLst>
          </c:dLbls>
          <c:cat>
            <c:strRef>
              <c:f>'Total Available Supply and Sale'!$A$3:$A$33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'Total Available Supply and Sale'!$L$3:$L$33</c:f>
              <c:numCache>
                <c:formatCode>0.00%</c:formatCode>
                <c:ptCount val="31"/>
                <c:pt idx="0">
                  <c:v>0.21100519089670522</c:v>
                </c:pt>
                <c:pt idx="1">
                  <c:v>0.20291506046028926</c:v>
                </c:pt>
                <c:pt idx="2">
                  <c:v>0.18244096167752974</c:v>
                </c:pt>
                <c:pt idx="3">
                  <c:v>0.24055585965331164</c:v>
                </c:pt>
                <c:pt idx="4">
                  <c:v>0.31914953500432791</c:v>
                </c:pt>
                <c:pt idx="5">
                  <c:v>0.26298858535640413</c:v>
                </c:pt>
                <c:pt idx="6">
                  <c:v>0.22528796074906338</c:v>
                </c:pt>
                <c:pt idx="7">
                  <c:v>0.17301657609856369</c:v>
                </c:pt>
                <c:pt idx="8">
                  <c:v>0.24601062302988602</c:v>
                </c:pt>
                <c:pt idx="9">
                  <c:v>0.394897524274545</c:v>
                </c:pt>
                <c:pt idx="10">
                  <c:v>0.59982885560845345</c:v>
                </c:pt>
                <c:pt idx="11">
                  <c:v>0.72566812471650055</c:v>
                </c:pt>
                <c:pt idx="12">
                  <c:v>0.53747896858348598</c:v>
                </c:pt>
                <c:pt idx="13">
                  <c:v>0.35848219247010626</c:v>
                </c:pt>
                <c:pt idx="14">
                  <c:v>0.37922537803327833</c:v>
                </c:pt>
                <c:pt idx="15">
                  <c:v>0.45081878854914609</c:v>
                </c:pt>
                <c:pt idx="16">
                  <c:v>0.44970603678772192</c:v>
                </c:pt>
                <c:pt idx="17">
                  <c:v>0.40532583404766614</c:v>
                </c:pt>
                <c:pt idx="18">
                  <c:v>0.37922812267790434</c:v>
                </c:pt>
                <c:pt idx="19">
                  <c:v>0.38368161392132283</c:v>
                </c:pt>
                <c:pt idx="20">
                  <c:v>0.57157803358846282</c:v>
                </c:pt>
                <c:pt idx="21">
                  <c:v>0.58079116823739452</c:v>
                </c:pt>
                <c:pt idx="22">
                  <c:v>0.47695029557553204</c:v>
                </c:pt>
                <c:pt idx="23">
                  <c:v>0.54668301360147475</c:v>
                </c:pt>
                <c:pt idx="24">
                  <c:v>0.7021296346903747</c:v>
                </c:pt>
                <c:pt idx="25">
                  <c:v>0.85418388204116402</c:v>
                </c:pt>
                <c:pt idx="26">
                  <c:v>0.78578530211838726</c:v>
                </c:pt>
                <c:pt idx="27">
                  <c:v>0.87791295943031822</c:v>
                </c:pt>
                <c:pt idx="28">
                  <c:v>0.9934213517381083</c:v>
                </c:pt>
                <c:pt idx="29">
                  <c:v>0.55823218376526929</c:v>
                </c:pt>
                <c:pt idx="30">
                  <c:v>0.5050322012678089</c:v>
                </c:pt>
              </c:numCache>
            </c:numRef>
          </c:val>
          <c:extLst>
            <c:ext xmlns:c16="http://schemas.microsoft.com/office/drawing/2014/chart" uri="{C3380CC4-5D6E-409C-BE32-E72D297353CC}">
              <c16:uniqueId val="{00000006-7138-4044-99FA-B41FED478451}"/>
            </c:ext>
          </c:extLst>
        </c:ser>
        <c:dLbls>
          <c:showLegendKey val="0"/>
          <c:showVal val="0"/>
          <c:showCatName val="0"/>
          <c:showSerName val="0"/>
          <c:showPercent val="0"/>
          <c:showBubbleSize val="0"/>
        </c:dLbls>
        <c:gapWidth val="150"/>
        <c:shape val="cylinder"/>
        <c:axId val="476050232"/>
        <c:axId val="476049056"/>
        <c:axId val="0"/>
      </c:bar3DChart>
      <c:catAx>
        <c:axId val="476050232"/>
        <c:scaling>
          <c:orientation val="minMax"/>
        </c:scaling>
        <c:delete val="0"/>
        <c:axPos val="l"/>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6049056"/>
        <c:crosses val="autoZero"/>
        <c:auto val="1"/>
        <c:lblAlgn val="ctr"/>
        <c:lblOffset val="100"/>
        <c:tickLblSkip val="5"/>
        <c:noMultiLvlLbl val="0"/>
      </c:catAx>
      <c:valAx>
        <c:axId val="476049056"/>
        <c:scaling>
          <c:orientation val="minMax"/>
          <c:max val="1"/>
        </c:scaling>
        <c:delete val="0"/>
        <c:axPos val="b"/>
        <c:majorGridlines/>
        <c:numFmt formatCode="0%" sourceLinked="0"/>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6050232"/>
        <c:crosses val="autoZero"/>
        <c:crossBetween val="between"/>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US </a:t>
            </a:r>
            <a:r>
              <a:rPr lang="en-US"/>
              <a:t>Cranberry Average Yield</a:t>
            </a:r>
            <a:endParaRPr lang="en-US" baseline="0"/>
          </a:p>
        </c:rich>
      </c:tx>
      <c:overlay val="0"/>
    </c:title>
    <c:autoTitleDeleted val="0"/>
    <c:plotArea>
      <c:layout/>
      <c:lineChart>
        <c:grouping val="standard"/>
        <c:varyColors val="0"/>
        <c:ser>
          <c:idx val="6"/>
          <c:order val="0"/>
          <c:tx>
            <c:strRef>
              <c:f>Yield!$G$1</c:f>
              <c:strCache>
                <c:ptCount val="1"/>
                <c:pt idx="0">
                  <c:v>U.S.</c:v>
                </c:pt>
              </c:strCache>
            </c:strRef>
          </c:tx>
          <c:spPr>
            <a:ln w="50800">
              <a:solidFill>
                <a:schemeClr val="tx1"/>
              </a:solidFill>
            </a:ln>
          </c:spPr>
          <c:marker>
            <c:symbol val="none"/>
          </c:marker>
          <c:cat>
            <c:strRef>
              <c:extLst>
                <c:ext xmlns:c15="http://schemas.microsoft.com/office/drawing/2012/chart" uri="{02D57815-91ED-43cb-92C2-25804820EDAC}">
                  <c15:fullRef>
                    <c15:sqref>Yield!$A$1:$A$20</c15:sqref>
                  </c15:fullRef>
                </c:ext>
              </c:extLst>
              <c:f>Yield!$A$2:$A$20</c:f>
              <c:strCache>
                <c:ptCount val="19"/>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strCache>
            </c:strRef>
          </c:cat>
          <c:val>
            <c:numRef>
              <c:extLst>
                <c:ext xmlns:c15="http://schemas.microsoft.com/office/drawing/2012/chart" uri="{02D57815-91ED-43cb-92C2-25804820EDAC}">
                  <c15:fullRef>
                    <c15:sqref>Yield!$G$2:$G$20</c15:sqref>
                  </c15:fullRef>
                </c:ext>
              </c:extLst>
              <c:f>Yield!$G$3:$G$20</c:f>
              <c:numCache>
                <c:formatCode>0.0</c:formatCode>
                <c:ptCount val="18"/>
                <c:pt idx="0">
                  <c:v>149.69999999999999</c:v>
                </c:pt>
                <c:pt idx="1">
                  <c:v>144.4</c:v>
                </c:pt>
                <c:pt idx="2">
                  <c:v>156.1</c:v>
                </c:pt>
                <c:pt idx="3">
                  <c:v>157.5</c:v>
                </c:pt>
                <c:pt idx="4">
                  <c:v>160.1</c:v>
                </c:pt>
                <c:pt idx="5">
                  <c:v>176.9</c:v>
                </c:pt>
                <c:pt idx="6">
                  <c:v>172</c:v>
                </c:pt>
                <c:pt idx="7">
                  <c:v>205.9</c:v>
                </c:pt>
                <c:pt idx="8">
                  <c:v>179.6</c:v>
                </c:pt>
                <c:pt idx="9">
                  <c:v>176.8</c:v>
                </c:pt>
                <c:pt idx="10">
                  <c:v>200.3</c:v>
                </c:pt>
                <c:pt idx="11">
                  <c:v>199.6</c:v>
                </c:pt>
                <c:pt idx="12">
                  <c:v>211.4</c:v>
                </c:pt>
                <c:pt idx="13">
                  <c:v>198.49125615763546</c:v>
                </c:pt>
                <c:pt idx="14">
                  <c:v>197.04271393643032</c:v>
                </c:pt>
                <c:pt idx="15">
                  <c:v>223.07819277108433</c:v>
                </c:pt>
                <c:pt idx="16">
                  <c:v>204.58403022670026</c:v>
                </c:pt>
                <c:pt idx="17">
                  <c:v>213</c:v>
                </c:pt>
              </c:numCache>
            </c:numRef>
          </c:val>
          <c:smooth val="0"/>
          <c:extLst>
            <c:ext xmlns:c16="http://schemas.microsoft.com/office/drawing/2014/chart" uri="{C3380CC4-5D6E-409C-BE32-E72D297353CC}">
              <c16:uniqueId val="{00000000-CD0B-4756-B58A-AC9884C54CB1}"/>
            </c:ext>
          </c:extLst>
        </c:ser>
        <c:dLbls>
          <c:showLegendKey val="0"/>
          <c:showVal val="0"/>
          <c:showCatName val="0"/>
          <c:showSerName val="0"/>
          <c:showPercent val="0"/>
          <c:showBubbleSize val="0"/>
        </c:dLbls>
        <c:smooth val="0"/>
        <c:axId val="471154640"/>
        <c:axId val="471153856"/>
      </c:lineChart>
      <c:catAx>
        <c:axId val="471154640"/>
        <c:scaling>
          <c:orientation val="minMax"/>
        </c:scaling>
        <c:delete val="0"/>
        <c:axPos val="b"/>
        <c:numFmt formatCode="General" sourceLinked="1"/>
        <c:majorTickMark val="out"/>
        <c:minorTickMark val="none"/>
        <c:tickLblPos val="nextTo"/>
        <c:txPr>
          <a:bodyPr/>
          <a:lstStyle/>
          <a:p>
            <a:pPr>
              <a:defRPr sz="1600" b="1"/>
            </a:pPr>
            <a:endParaRPr lang="en-US"/>
          </a:p>
        </c:txPr>
        <c:crossAx val="471153856"/>
        <c:crosses val="autoZero"/>
        <c:auto val="1"/>
        <c:lblAlgn val="ctr"/>
        <c:lblOffset val="100"/>
        <c:tickLblSkip val="4"/>
        <c:noMultiLvlLbl val="0"/>
      </c:catAx>
      <c:valAx>
        <c:axId val="471153856"/>
        <c:scaling>
          <c:orientation val="minMax"/>
          <c:min val="140"/>
        </c:scaling>
        <c:delete val="0"/>
        <c:axPos val="l"/>
        <c:majorGridlines/>
        <c:title>
          <c:tx>
            <c:rich>
              <a:bodyPr rot="-5400000" vert="horz"/>
              <a:lstStyle/>
              <a:p>
                <a:pPr>
                  <a:defRPr sz="1600"/>
                </a:pPr>
                <a:r>
                  <a:rPr lang="en-US" sz="1600"/>
                  <a:t>Barrels</a:t>
                </a:r>
                <a:r>
                  <a:rPr lang="en-US" sz="1600" baseline="0"/>
                  <a:t> per Acre</a:t>
                </a:r>
                <a:endParaRPr lang="en-US" sz="1600"/>
              </a:p>
            </c:rich>
          </c:tx>
          <c:overlay val="0"/>
        </c:title>
        <c:numFmt formatCode="0" sourceLinked="0"/>
        <c:majorTickMark val="out"/>
        <c:minorTickMark val="none"/>
        <c:tickLblPos val="nextTo"/>
        <c:txPr>
          <a:bodyPr/>
          <a:lstStyle/>
          <a:p>
            <a:pPr>
              <a:defRPr sz="1600" b="1"/>
            </a:pPr>
            <a:endParaRPr lang="en-US"/>
          </a:p>
        </c:txPr>
        <c:crossAx val="471154640"/>
        <c:crosses val="autoZero"/>
        <c:crossBetween val="between"/>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00" b="1" i="0" u="none" strike="noStrike" baseline="0">
                <a:solidFill>
                  <a:srgbClr val="000000"/>
                </a:solidFill>
                <a:latin typeface="Calibri"/>
                <a:ea typeface="Calibri"/>
                <a:cs typeface="Calibri"/>
              </a:defRPr>
            </a:pPr>
            <a:r>
              <a:rPr lang="en-US"/>
              <a:t>Non U.S. Total Cranberry Production</a:t>
            </a:r>
          </a:p>
        </c:rich>
      </c:tx>
      <c:overlay val="0"/>
    </c:title>
    <c:autoTitleDeleted val="0"/>
    <c:plotArea>
      <c:layout>
        <c:manualLayout>
          <c:layoutTarget val="inner"/>
          <c:xMode val="edge"/>
          <c:yMode val="edge"/>
          <c:x val="0.12783154119586695"/>
          <c:y val="0.10213898050879233"/>
          <c:w val="0.8593610357753293"/>
          <c:h val="0.73504683736567022"/>
        </c:manualLayout>
      </c:layout>
      <c:lineChart>
        <c:grouping val="standard"/>
        <c:varyColors val="0"/>
        <c:ser>
          <c:idx val="0"/>
          <c:order val="0"/>
          <c:tx>
            <c:strRef>
              <c:f>'NON US Production'!$B$1</c:f>
              <c:strCache>
                <c:ptCount val="1"/>
                <c:pt idx="0">
                  <c:v>Quebec</c:v>
                </c:pt>
              </c:strCache>
            </c:strRef>
          </c:tx>
          <c:spPr>
            <a:ln w="50800">
              <a:solidFill>
                <a:srgbClr val="00B050"/>
              </a:solidFill>
            </a:ln>
          </c:spPr>
          <c:marker>
            <c:symbol val="none"/>
          </c:marker>
          <c:cat>
            <c:strRef>
              <c:f>'NON US Production'!$A$20:$A$30</c:f>
              <c:strCache>
                <c:ptCount val="11"/>
                <c:pt idx="0">
                  <c:v>2009</c:v>
                </c:pt>
                <c:pt idx="1">
                  <c:v>2010</c:v>
                </c:pt>
                <c:pt idx="2">
                  <c:v>2011</c:v>
                </c:pt>
                <c:pt idx="3">
                  <c:v>2012</c:v>
                </c:pt>
                <c:pt idx="4">
                  <c:v>2013</c:v>
                </c:pt>
                <c:pt idx="5">
                  <c:v>2014</c:v>
                </c:pt>
                <c:pt idx="6">
                  <c:v>2015</c:v>
                </c:pt>
                <c:pt idx="7">
                  <c:v>2016</c:v>
                </c:pt>
                <c:pt idx="8">
                  <c:v>2017</c:v>
                </c:pt>
                <c:pt idx="9">
                  <c:v>2018</c:v>
                </c:pt>
                <c:pt idx="10">
                  <c:v>2019 EST</c:v>
                </c:pt>
              </c:strCache>
            </c:strRef>
          </c:cat>
          <c:val>
            <c:numRef>
              <c:f>'NON US Production'!$E$20:$E$30</c:f>
              <c:numCache>
                <c:formatCode>_(* #,##0_);_(* \(#,##0\);_(* "-"??_);_(@_)</c:formatCode>
                <c:ptCount val="11"/>
                <c:pt idx="0">
                  <c:v>963619</c:v>
                </c:pt>
                <c:pt idx="1">
                  <c:v>918959</c:v>
                </c:pt>
                <c:pt idx="2">
                  <c:v>1193306</c:v>
                </c:pt>
                <c:pt idx="3">
                  <c:v>1854980</c:v>
                </c:pt>
                <c:pt idx="4">
                  <c:v>1621764</c:v>
                </c:pt>
                <c:pt idx="5">
                  <c:v>2410472.2999999998</c:v>
                </c:pt>
                <c:pt idx="6">
                  <c:v>2085387.44</c:v>
                </c:pt>
                <c:pt idx="7">
                  <c:v>2758936</c:v>
                </c:pt>
                <c:pt idx="8">
                  <c:v>1602672</c:v>
                </c:pt>
                <c:pt idx="9">
                  <c:v>2513928</c:v>
                </c:pt>
                <c:pt idx="10">
                  <c:v>2300000</c:v>
                </c:pt>
              </c:numCache>
            </c:numRef>
          </c:val>
          <c:smooth val="0"/>
          <c:extLst>
            <c:ext xmlns:c16="http://schemas.microsoft.com/office/drawing/2014/chart" uri="{C3380CC4-5D6E-409C-BE32-E72D297353CC}">
              <c16:uniqueId val="{00000000-304B-42EE-821C-390F4E42BB56}"/>
            </c:ext>
          </c:extLst>
        </c:ser>
        <c:ser>
          <c:idx val="5"/>
          <c:order val="1"/>
          <c:tx>
            <c:strRef>
              <c:f>'NON US Production'!$G$1</c:f>
              <c:strCache>
                <c:ptCount val="1"/>
                <c:pt idx="0">
                  <c:v>British Columbia</c:v>
                </c:pt>
              </c:strCache>
            </c:strRef>
          </c:tx>
          <c:spPr>
            <a:ln w="50800">
              <a:solidFill>
                <a:srgbClr val="0070C0"/>
              </a:solidFill>
            </a:ln>
          </c:spPr>
          <c:marker>
            <c:symbol val="none"/>
          </c:marker>
          <c:cat>
            <c:strRef>
              <c:f>'NON US Production'!$A$20:$A$30</c:f>
              <c:strCache>
                <c:ptCount val="11"/>
                <c:pt idx="0">
                  <c:v>2009</c:v>
                </c:pt>
                <c:pt idx="1">
                  <c:v>2010</c:v>
                </c:pt>
                <c:pt idx="2">
                  <c:v>2011</c:v>
                </c:pt>
                <c:pt idx="3">
                  <c:v>2012</c:v>
                </c:pt>
                <c:pt idx="4">
                  <c:v>2013</c:v>
                </c:pt>
                <c:pt idx="5">
                  <c:v>2014</c:v>
                </c:pt>
                <c:pt idx="6">
                  <c:v>2015</c:v>
                </c:pt>
                <c:pt idx="7">
                  <c:v>2016</c:v>
                </c:pt>
                <c:pt idx="8">
                  <c:v>2017</c:v>
                </c:pt>
                <c:pt idx="9">
                  <c:v>2018</c:v>
                </c:pt>
                <c:pt idx="10">
                  <c:v>2019 EST</c:v>
                </c:pt>
              </c:strCache>
            </c:strRef>
          </c:cat>
          <c:val>
            <c:numRef>
              <c:f>'NON US Production'!$H$20:$H$30</c:f>
              <c:numCache>
                <c:formatCode>_(* #,##0_);_(* \(#,##0\);_(* "-"??_);_(@_)</c:formatCode>
                <c:ptCount val="11"/>
                <c:pt idx="0">
                  <c:v>826000</c:v>
                </c:pt>
                <c:pt idx="1">
                  <c:v>643897</c:v>
                </c:pt>
                <c:pt idx="2">
                  <c:v>607520</c:v>
                </c:pt>
                <c:pt idx="3">
                  <c:v>944051</c:v>
                </c:pt>
                <c:pt idx="4">
                  <c:v>941277</c:v>
                </c:pt>
                <c:pt idx="5">
                  <c:v>837538</c:v>
                </c:pt>
                <c:pt idx="6">
                  <c:v>989000</c:v>
                </c:pt>
                <c:pt idx="7">
                  <c:v>1007684</c:v>
                </c:pt>
                <c:pt idx="8">
                  <c:v>856941</c:v>
                </c:pt>
                <c:pt idx="9">
                  <c:v>1347753</c:v>
                </c:pt>
                <c:pt idx="10">
                  <c:v>900000</c:v>
                </c:pt>
              </c:numCache>
            </c:numRef>
          </c:val>
          <c:smooth val="0"/>
          <c:extLst>
            <c:ext xmlns:c16="http://schemas.microsoft.com/office/drawing/2014/chart" uri="{C3380CC4-5D6E-409C-BE32-E72D297353CC}">
              <c16:uniqueId val="{00000001-304B-42EE-821C-390F4E42BB56}"/>
            </c:ext>
          </c:extLst>
        </c:ser>
        <c:ser>
          <c:idx val="8"/>
          <c:order val="2"/>
          <c:tx>
            <c:strRef>
              <c:f>'NON US Production'!$J$1</c:f>
              <c:strCache>
                <c:ptCount val="1"/>
                <c:pt idx="0">
                  <c:v>Atlantic Canada* </c:v>
                </c:pt>
              </c:strCache>
            </c:strRef>
          </c:tx>
          <c:spPr>
            <a:ln w="50800"/>
          </c:spPr>
          <c:marker>
            <c:symbol val="none"/>
          </c:marker>
          <c:cat>
            <c:strRef>
              <c:f>'NON US Production'!$A$20:$A$30</c:f>
              <c:strCache>
                <c:ptCount val="11"/>
                <c:pt idx="0">
                  <c:v>2009</c:v>
                </c:pt>
                <c:pt idx="1">
                  <c:v>2010</c:v>
                </c:pt>
                <c:pt idx="2">
                  <c:v>2011</c:v>
                </c:pt>
                <c:pt idx="3">
                  <c:v>2012</c:v>
                </c:pt>
                <c:pt idx="4">
                  <c:v>2013</c:v>
                </c:pt>
                <c:pt idx="5">
                  <c:v>2014</c:v>
                </c:pt>
                <c:pt idx="6">
                  <c:v>2015</c:v>
                </c:pt>
                <c:pt idx="7">
                  <c:v>2016</c:v>
                </c:pt>
                <c:pt idx="8">
                  <c:v>2017</c:v>
                </c:pt>
                <c:pt idx="9">
                  <c:v>2018</c:v>
                </c:pt>
                <c:pt idx="10">
                  <c:v>2019 EST</c:v>
                </c:pt>
              </c:strCache>
            </c:strRef>
          </c:cat>
          <c:val>
            <c:numRef>
              <c:f>'NON US Production'!$J$20:$J$30</c:f>
              <c:numCache>
                <c:formatCode>General</c:formatCode>
                <c:ptCount val="11"/>
                <c:pt idx="0" formatCode="#,##0">
                  <c:v>0</c:v>
                </c:pt>
                <c:pt idx="2" formatCode="#,##0">
                  <c:v>110000</c:v>
                </c:pt>
                <c:pt idx="3" formatCode="#,##0">
                  <c:v>154750</c:v>
                </c:pt>
                <c:pt idx="4" formatCode="#,##0">
                  <c:v>203246</c:v>
                </c:pt>
                <c:pt idx="5" formatCode="#,##0">
                  <c:v>125000</c:v>
                </c:pt>
                <c:pt idx="6" formatCode="#,##0">
                  <c:v>197612.56000000006</c:v>
                </c:pt>
                <c:pt idx="7" formatCode="#,##0">
                  <c:v>200000</c:v>
                </c:pt>
                <c:pt idx="8" formatCode="#,##0">
                  <c:v>180000</c:v>
                </c:pt>
                <c:pt idx="9" formatCode="#,##0">
                  <c:v>160000</c:v>
                </c:pt>
                <c:pt idx="10" formatCode="#,##0">
                  <c:v>160000</c:v>
                </c:pt>
              </c:numCache>
            </c:numRef>
          </c:val>
          <c:smooth val="0"/>
          <c:extLst>
            <c:ext xmlns:c16="http://schemas.microsoft.com/office/drawing/2014/chart" uri="{C3380CC4-5D6E-409C-BE32-E72D297353CC}">
              <c16:uniqueId val="{00000002-304B-42EE-821C-390F4E42BB56}"/>
            </c:ext>
          </c:extLst>
        </c:ser>
        <c:ser>
          <c:idx val="9"/>
          <c:order val="3"/>
          <c:tx>
            <c:strRef>
              <c:f>'NON US Production'!$K$1</c:f>
              <c:strCache>
                <c:ptCount val="1"/>
                <c:pt idx="0">
                  <c:v>Total Canada </c:v>
                </c:pt>
              </c:strCache>
            </c:strRef>
          </c:tx>
          <c:spPr>
            <a:ln w="50800">
              <a:solidFill>
                <a:srgbClr val="FFFF00"/>
              </a:solidFill>
            </a:ln>
          </c:spPr>
          <c:marker>
            <c:symbol val="none"/>
          </c:marker>
          <c:cat>
            <c:strRef>
              <c:f>'NON US Production'!$A$20:$A$30</c:f>
              <c:strCache>
                <c:ptCount val="11"/>
                <c:pt idx="0">
                  <c:v>2009</c:v>
                </c:pt>
                <c:pt idx="1">
                  <c:v>2010</c:v>
                </c:pt>
                <c:pt idx="2">
                  <c:v>2011</c:v>
                </c:pt>
                <c:pt idx="3">
                  <c:v>2012</c:v>
                </c:pt>
                <c:pt idx="4">
                  <c:v>2013</c:v>
                </c:pt>
                <c:pt idx="5">
                  <c:v>2014</c:v>
                </c:pt>
                <c:pt idx="6">
                  <c:v>2015</c:v>
                </c:pt>
                <c:pt idx="7">
                  <c:v>2016</c:v>
                </c:pt>
                <c:pt idx="8">
                  <c:v>2017</c:v>
                </c:pt>
                <c:pt idx="9">
                  <c:v>2018</c:v>
                </c:pt>
                <c:pt idx="10">
                  <c:v>2019 EST</c:v>
                </c:pt>
              </c:strCache>
            </c:strRef>
          </c:cat>
          <c:val>
            <c:numRef>
              <c:f>'NON US Production'!$K$20:$K$30</c:f>
              <c:numCache>
                <c:formatCode>#,##0</c:formatCode>
                <c:ptCount val="11"/>
                <c:pt idx="0">
                  <c:v>1789619</c:v>
                </c:pt>
                <c:pt idx="1">
                  <c:v>1562856</c:v>
                </c:pt>
                <c:pt idx="2">
                  <c:v>1910826</c:v>
                </c:pt>
                <c:pt idx="3">
                  <c:v>2953781</c:v>
                </c:pt>
                <c:pt idx="4">
                  <c:v>2766287</c:v>
                </c:pt>
                <c:pt idx="5">
                  <c:v>3373010.3</c:v>
                </c:pt>
                <c:pt idx="6">
                  <c:v>3272000</c:v>
                </c:pt>
                <c:pt idx="7">
                  <c:v>3966620</c:v>
                </c:pt>
                <c:pt idx="8">
                  <c:v>2639613</c:v>
                </c:pt>
                <c:pt idx="9">
                  <c:v>4021681</c:v>
                </c:pt>
                <c:pt idx="10">
                  <c:v>3360000</c:v>
                </c:pt>
              </c:numCache>
            </c:numRef>
          </c:val>
          <c:smooth val="0"/>
          <c:extLst>
            <c:ext xmlns:c16="http://schemas.microsoft.com/office/drawing/2014/chart" uri="{C3380CC4-5D6E-409C-BE32-E72D297353CC}">
              <c16:uniqueId val="{00000003-304B-42EE-821C-390F4E42BB56}"/>
            </c:ext>
          </c:extLst>
        </c:ser>
        <c:ser>
          <c:idx val="1"/>
          <c:order val="4"/>
          <c:tx>
            <c:strRef>
              <c:f>'NON US Production'!$L$1:$N$1</c:f>
              <c:strCache>
                <c:ptCount val="1"/>
                <c:pt idx="0">
                  <c:v>Chile</c:v>
                </c:pt>
              </c:strCache>
            </c:strRef>
          </c:tx>
          <c:spPr>
            <a:ln w="50800">
              <a:solidFill>
                <a:srgbClr val="FF0000"/>
              </a:solidFill>
            </a:ln>
          </c:spPr>
          <c:marker>
            <c:symbol val="none"/>
          </c:marker>
          <c:cat>
            <c:strRef>
              <c:f>'NON US Production'!$A$20:$A$30</c:f>
              <c:strCache>
                <c:ptCount val="11"/>
                <c:pt idx="0">
                  <c:v>2009</c:v>
                </c:pt>
                <c:pt idx="1">
                  <c:v>2010</c:v>
                </c:pt>
                <c:pt idx="2">
                  <c:v>2011</c:v>
                </c:pt>
                <c:pt idx="3">
                  <c:v>2012</c:v>
                </c:pt>
                <c:pt idx="4">
                  <c:v>2013</c:v>
                </c:pt>
                <c:pt idx="5">
                  <c:v>2014</c:v>
                </c:pt>
                <c:pt idx="6">
                  <c:v>2015</c:v>
                </c:pt>
                <c:pt idx="7">
                  <c:v>2016</c:v>
                </c:pt>
                <c:pt idx="8">
                  <c:v>2017</c:v>
                </c:pt>
                <c:pt idx="9">
                  <c:v>2018</c:v>
                </c:pt>
                <c:pt idx="10">
                  <c:v>2019 EST</c:v>
                </c:pt>
              </c:strCache>
            </c:strRef>
          </c:cat>
          <c:val>
            <c:numRef>
              <c:f>'NON US Production'!$M$20:$M$30</c:f>
              <c:numCache>
                <c:formatCode>_(* #,##0_);_(* \(#,##0\);_(* "-"??_);_(@_)</c:formatCode>
                <c:ptCount val="11"/>
                <c:pt idx="0">
                  <c:v>300000</c:v>
                </c:pt>
                <c:pt idx="1">
                  <c:v>219286</c:v>
                </c:pt>
                <c:pt idx="2">
                  <c:v>354022</c:v>
                </c:pt>
                <c:pt idx="3">
                  <c:v>354800</c:v>
                </c:pt>
                <c:pt idx="4">
                  <c:v>465000</c:v>
                </c:pt>
                <c:pt idx="5">
                  <c:v>408000</c:v>
                </c:pt>
                <c:pt idx="6">
                  <c:v>432000</c:v>
                </c:pt>
                <c:pt idx="7">
                  <c:v>488000</c:v>
                </c:pt>
                <c:pt idx="8">
                  <c:v>480000</c:v>
                </c:pt>
                <c:pt idx="9">
                  <c:v>440000</c:v>
                </c:pt>
                <c:pt idx="10">
                  <c:v>484000</c:v>
                </c:pt>
              </c:numCache>
            </c:numRef>
          </c:val>
          <c:smooth val="0"/>
          <c:extLst>
            <c:ext xmlns:c16="http://schemas.microsoft.com/office/drawing/2014/chart" uri="{C3380CC4-5D6E-409C-BE32-E72D297353CC}">
              <c16:uniqueId val="{00000004-304B-42EE-821C-390F4E42BB56}"/>
            </c:ext>
          </c:extLst>
        </c:ser>
        <c:ser>
          <c:idx val="2"/>
          <c:order val="5"/>
          <c:tx>
            <c:strRef>
              <c:f>'NON US Production'!$O$1</c:f>
              <c:strCache>
                <c:ptCount val="1"/>
                <c:pt idx="0">
                  <c:v>Total Non US</c:v>
                </c:pt>
              </c:strCache>
            </c:strRef>
          </c:tx>
          <c:spPr>
            <a:ln w="50800">
              <a:solidFill>
                <a:schemeClr val="tx1">
                  <a:lumMod val="95000"/>
                  <a:lumOff val="5000"/>
                </a:schemeClr>
              </a:solidFill>
            </a:ln>
          </c:spPr>
          <c:marker>
            <c:symbol val="none"/>
          </c:marker>
          <c:cat>
            <c:strRef>
              <c:f>'NON US Production'!$A$20:$A$30</c:f>
              <c:strCache>
                <c:ptCount val="11"/>
                <c:pt idx="0">
                  <c:v>2009</c:v>
                </c:pt>
                <c:pt idx="1">
                  <c:v>2010</c:v>
                </c:pt>
                <c:pt idx="2">
                  <c:v>2011</c:v>
                </c:pt>
                <c:pt idx="3">
                  <c:v>2012</c:v>
                </c:pt>
                <c:pt idx="4">
                  <c:v>2013</c:v>
                </c:pt>
                <c:pt idx="5">
                  <c:v>2014</c:v>
                </c:pt>
                <c:pt idx="6">
                  <c:v>2015</c:v>
                </c:pt>
                <c:pt idx="7">
                  <c:v>2016</c:v>
                </c:pt>
                <c:pt idx="8">
                  <c:v>2017</c:v>
                </c:pt>
                <c:pt idx="9">
                  <c:v>2018</c:v>
                </c:pt>
                <c:pt idx="10">
                  <c:v>2019 EST</c:v>
                </c:pt>
              </c:strCache>
            </c:strRef>
          </c:cat>
          <c:val>
            <c:numRef>
              <c:f>'NON US Production'!$O$20:$O$30</c:f>
              <c:numCache>
                <c:formatCode>#,##0</c:formatCode>
                <c:ptCount val="11"/>
                <c:pt idx="0">
                  <c:v>2089619</c:v>
                </c:pt>
                <c:pt idx="1">
                  <c:v>1782142</c:v>
                </c:pt>
                <c:pt idx="2">
                  <c:v>2264848</c:v>
                </c:pt>
                <c:pt idx="3">
                  <c:v>3308581</c:v>
                </c:pt>
                <c:pt idx="4">
                  <c:v>3231287</c:v>
                </c:pt>
                <c:pt idx="5">
                  <c:v>3781010.3</c:v>
                </c:pt>
                <c:pt idx="6">
                  <c:v>3704000</c:v>
                </c:pt>
                <c:pt idx="7">
                  <c:v>4454620</c:v>
                </c:pt>
                <c:pt idx="8">
                  <c:v>3119613</c:v>
                </c:pt>
                <c:pt idx="9">
                  <c:v>4461681</c:v>
                </c:pt>
                <c:pt idx="10">
                  <c:v>3844000</c:v>
                </c:pt>
              </c:numCache>
            </c:numRef>
          </c:val>
          <c:smooth val="0"/>
          <c:extLst>
            <c:ext xmlns:c16="http://schemas.microsoft.com/office/drawing/2014/chart" uri="{C3380CC4-5D6E-409C-BE32-E72D297353CC}">
              <c16:uniqueId val="{00000005-304B-42EE-821C-390F4E42BB56}"/>
            </c:ext>
          </c:extLst>
        </c:ser>
        <c:dLbls>
          <c:showLegendKey val="0"/>
          <c:showVal val="0"/>
          <c:showCatName val="0"/>
          <c:showSerName val="0"/>
          <c:showPercent val="0"/>
          <c:showBubbleSize val="0"/>
        </c:dLbls>
        <c:smooth val="0"/>
        <c:axId val="475004488"/>
        <c:axId val="475008016"/>
      </c:lineChart>
      <c:catAx>
        <c:axId val="475004488"/>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8016"/>
        <c:crosses val="autoZero"/>
        <c:auto val="1"/>
        <c:lblAlgn val="ctr"/>
        <c:lblOffset val="100"/>
        <c:tickLblSkip val="1"/>
        <c:noMultiLvlLbl val="0"/>
      </c:catAx>
      <c:valAx>
        <c:axId val="475008016"/>
        <c:scaling>
          <c:orientation val="minMax"/>
        </c:scaling>
        <c:delete val="0"/>
        <c:axPos val="l"/>
        <c:majorGridlines/>
        <c:title>
          <c:tx>
            <c:rich>
              <a:bodyPr/>
              <a:lstStyle/>
              <a:p>
                <a:pPr>
                  <a:defRPr sz="1600" b="1" i="0" u="none" strike="noStrike" baseline="0">
                    <a:solidFill>
                      <a:srgbClr val="000000"/>
                    </a:solidFill>
                    <a:latin typeface="Calibri"/>
                    <a:ea typeface="Calibri"/>
                    <a:cs typeface="Calibri"/>
                  </a:defRPr>
                </a:pPr>
                <a:r>
                  <a:rPr lang="en-US"/>
                  <a:t>Thousands of Barrels</a:t>
                </a:r>
              </a:p>
            </c:rich>
          </c:tx>
          <c:overlay val="0"/>
        </c:title>
        <c:numFmt formatCode="_(* #,##0_);_(* \(#,##0\);_(* &quot;-&quot;??_);_(@_)"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4488"/>
        <c:crosses val="autoZero"/>
        <c:crossBetween val="between"/>
        <c:majorUnit val="1000000"/>
        <c:dispUnits>
          <c:builtInUnit val="thousands"/>
        </c:dispUnits>
      </c:valAx>
    </c:plotArea>
    <c:legend>
      <c:legendPos val="b"/>
      <c:layout>
        <c:manualLayout>
          <c:xMode val="edge"/>
          <c:yMode val="edge"/>
          <c:x val="0.18285295196186291"/>
          <c:y val="0.90280617195577828"/>
          <c:w val="0.64015245619050398"/>
          <c:h val="9.3158355205599869E-2"/>
        </c:manualLayout>
      </c:layout>
      <c:overlay val="0"/>
      <c:txPr>
        <a:bodyPr/>
        <a:lstStyle/>
        <a:p>
          <a:pPr>
            <a:defRPr sz="135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Number of Barrels Purchased by USDA</a:t>
            </a:r>
          </a:p>
        </c:rich>
      </c:tx>
      <c:overlay val="0"/>
    </c:title>
    <c:autoTitleDeleted val="0"/>
    <c:plotArea>
      <c:layout>
        <c:manualLayout>
          <c:layoutTarget val="inner"/>
          <c:xMode val="edge"/>
          <c:yMode val="edge"/>
          <c:x val="0.10867514034383711"/>
          <c:y val="0.10706230577110105"/>
          <c:w val="0.87521472491685459"/>
          <c:h val="0.78561975303934461"/>
        </c:manualLayout>
      </c:layout>
      <c:barChart>
        <c:barDir val="col"/>
        <c:grouping val="clustered"/>
        <c:varyColors val="0"/>
        <c:ser>
          <c:idx val="0"/>
          <c:order val="0"/>
          <c:tx>
            <c:strRef>
              <c:f>Sales!$H$2</c:f>
              <c:strCache>
                <c:ptCount val="1"/>
                <c:pt idx="0">
                  <c:v>Government Sales</c:v>
                </c:pt>
              </c:strCache>
            </c:strRef>
          </c:tx>
          <c:invertIfNegative val="0"/>
          <c:cat>
            <c:strRef>
              <c:extLst>
                <c:ext xmlns:c15="http://schemas.microsoft.com/office/drawing/2012/chart" uri="{02D57815-91ED-43cb-92C2-25804820EDAC}">
                  <c15:fullRef>
                    <c15:sqref>Sales!$A$3:$A$33</c15:sqref>
                  </c15:fullRef>
                </c:ext>
              </c:extLst>
              <c:f>Sales!$A$21:$A$33</c:f>
              <c:strCache>
                <c:ptCount val="13"/>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 Est.</c:v>
                </c:pt>
              </c:strCache>
            </c:strRef>
          </c:cat>
          <c:val>
            <c:numRef>
              <c:extLst>
                <c:ext xmlns:c15="http://schemas.microsoft.com/office/drawing/2012/chart" uri="{02D57815-91ED-43cb-92C2-25804820EDAC}">
                  <c15:fullRef>
                    <c15:sqref>Sales!$H$3:$H$33</c15:sqref>
                  </c15:fullRef>
                </c:ext>
              </c:extLst>
              <c:f>Sales!$H$21:$H$33</c:f>
              <c:numCache>
                <c:formatCode>General</c:formatCode>
                <c:ptCount val="13"/>
                <c:pt idx="0" formatCode="_(* #,##0_);_(* \(#,##0\);_(* &quot;-&quot;??_);_(@_)">
                  <c:v>46138</c:v>
                </c:pt>
                <c:pt idx="1" formatCode="_(* #,##0_);_(* \(#,##0\);_(* &quot;-&quot;??_);_(@_)">
                  <c:v>50015</c:v>
                </c:pt>
                <c:pt idx="2" formatCode="_(* #,##0_);_(* \(#,##0\);_(* &quot;-&quot;??_);_(@_)">
                  <c:v>46594</c:v>
                </c:pt>
                <c:pt idx="3" formatCode="_(* #,##0_);_(* \(#,##0\);_(* &quot;-&quot;??_);_(@_)">
                  <c:v>43387</c:v>
                </c:pt>
                <c:pt idx="4" formatCode="_(* #,##0_);_(* \(#,##0\);_(* &quot;-&quot;??_);_(@_)">
                  <c:v>42391</c:v>
                </c:pt>
                <c:pt idx="5" formatCode="_(* #,##0_);_(* \(#,##0\);_(* &quot;-&quot;??_);_(@_)">
                  <c:v>40034</c:v>
                </c:pt>
                <c:pt idx="6" formatCode="_(* #,##0_);_(* \(#,##0\);_(* &quot;-&quot;??_);_(@_)">
                  <c:v>51270</c:v>
                </c:pt>
                <c:pt idx="7" formatCode="_(* #,##0_);_(* \(#,##0\);_(* &quot;-&quot;??_);_(@_)">
                  <c:v>257528</c:v>
                </c:pt>
                <c:pt idx="8" formatCode="_(* #,##0_);_(* \(#,##0\);_(* &quot;-&quot;??_);_(@_)">
                  <c:v>432967</c:v>
                </c:pt>
                <c:pt idx="9" formatCode="_(* #,##0_);_(* \(#,##0\);_(* &quot;-&quot;??_);_(@_)">
                  <c:v>431573</c:v>
                </c:pt>
                <c:pt idx="10" formatCode="_(* #,##0_);_(* \(#,##0\);_(* &quot;-&quot;??_);_(@_)">
                  <c:v>428481</c:v>
                </c:pt>
                <c:pt idx="11" formatCode="_(* #,##0_);_(* \(#,##0\);_(* &quot;-&quot;??_);_(@_)">
                  <c:v>81341</c:v>
                </c:pt>
                <c:pt idx="12" formatCode="_(* #,##0_);_(* \(#,##0\);_(* &quot;-&quot;??_);_(@_)">
                  <c:v>110733</c:v>
                </c:pt>
              </c:numCache>
            </c:numRef>
          </c:val>
          <c:extLst>
            <c:ext xmlns:c16="http://schemas.microsoft.com/office/drawing/2014/chart" uri="{C3380CC4-5D6E-409C-BE32-E72D297353CC}">
              <c16:uniqueId val="{00000000-B196-4E2D-855E-A2D58F6A1E80}"/>
            </c:ext>
          </c:extLst>
        </c:ser>
        <c:dLbls>
          <c:showLegendKey val="0"/>
          <c:showVal val="0"/>
          <c:showCatName val="0"/>
          <c:showSerName val="0"/>
          <c:showPercent val="0"/>
          <c:showBubbleSize val="0"/>
        </c:dLbls>
        <c:gapWidth val="150"/>
        <c:axId val="475003704"/>
        <c:axId val="475007232"/>
      </c:barChart>
      <c:catAx>
        <c:axId val="475003704"/>
        <c:scaling>
          <c:orientation val="minMax"/>
        </c:scaling>
        <c:delete val="0"/>
        <c:axPos val="b"/>
        <c:numFmt formatCode="General" sourceLinked="1"/>
        <c:majorTickMark val="out"/>
        <c:minorTickMark val="none"/>
        <c:tickLblPos val="nextTo"/>
        <c:spPr>
          <a:solidFill>
            <a:schemeClr val="bg1"/>
          </a:solidFill>
        </c:spPr>
        <c:txPr>
          <a:bodyPr rot="0" vert="horz"/>
          <a:lstStyle/>
          <a:p>
            <a:pPr>
              <a:defRPr sz="1600" b="1" i="0" u="none" strike="noStrike" baseline="0">
                <a:solidFill>
                  <a:srgbClr val="000000"/>
                </a:solidFill>
                <a:latin typeface="Calibri"/>
                <a:ea typeface="Calibri"/>
                <a:cs typeface="Calibri"/>
              </a:defRPr>
            </a:pPr>
            <a:endParaRPr lang="en-US"/>
          </a:p>
        </c:txPr>
        <c:crossAx val="475007232"/>
        <c:crosses val="autoZero"/>
        <c:auto val="1"/>
        <c:lblAlgn val="ctr"/>
        <c:lblOffset val="100"/>
        <c:tickLblSkip val="1"/>
        <c:noMultiLvlLbl val="0"/>
      </c:catAx>
      <c:valAx>
        <c:axId val="475007232"/>
        <c:scaling>
          <c:orientation val="minMax"/>
          <c:max val="450000"/>
        </c:scaling>
        <c:delete val="0"/>
        <c:axPos val="l"/>
        <c:majorGridlines/>
        <c:title>
          <c:tx>
            <c:rich>
              <a:bodyPr/>
              <a:lstStyle/>
              <a:p>
                <a:pPr>
                  <a:defRPr sz="1600" b="1" i="0" u="none" strike="noStrike" baseline="0">
                    <a:solidFill>
                      <a:srgbClr val="000000"/>
                    </a:solidFill>
                    <a:latin typeface="Calibri"/>
                    <a:ea typeface="Calibri"/>
                    <a:cs typeface="Calibri"/>
                  </a:defRPr>
                </a:pPr>
                <a:r>
                  <a:rPr lang="en-US"/>
                  <a:t>Thousand of Barrels</a:t>
                </a:r>
              </a:p>
            </c:rich>
          </c:tx>
          <c:overlay val="0"/>
        </c:title>
        <c:numFmt formatCode="#,##0"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3704"/>
        <c:crosses val="autoZero"/>
        <c:crossBetween val="between"/>
        <c:dispUnits>
          <c:builtInUnit val="thousands"/>
        </c:dispUnits>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Fresh Cranberry Sales</a:t>
            </a:r>
          </a:p>
        </c:rich>
      </c:tx>
      <c:overlay val="0"/>
    </c:title>
    <c:autoTitleDeleted val="0"/>
    <c:plotArea>
      <c:layout/>
      <c:lineChart>
        <c:grouping val="standard"/>
        <c:varyColors val="0"/>
        <c:ser>
          <c:idx val="0"/>
          <c:order val="0"/>
          <c:tx>
            <c:strRef>
              <c:f>Sales!$J$2</c:f>
              <c:strCache>
                <c:ptCount val="1"/>
                <c:pt idx="0">
                  <c:v>Total Fresh Sales</c:v>
                </c:pt>
              </c:strCache>
            </c:strRef>
          </c:tx>
          <c:spPr>
            <a:ln w="50800">
              <a:solidFill>
                <a:schemeClr val="accent3"/>
              </a:solidFill>
            </a:ln>
          </c:spPr>
          <c:marker>
            <c:symbol val="none"/>
          </c:marker>
          <c:cat>
            <c:strRef>
              <c:f>Sales!$A$3:$A$33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Sales!$J$3:$J$33</c:f>
              <c:numCache>
                <c:formatCode>#,##0</c:formatCode>
                <c:ptCount val="31"/>
                <c:pt idx="0">
                  <c:v>384193</c:v>
                </c:pt>
                <c:pt idx="1">
                  <c:v>357840</c:v>
                </c:pt>
                <c:pt idx="2">
                  <c:v>269657</c:v>
                </c:pt>
                <c:pt idx="3">
                  <c:v>240295</c:v>
                </c:pt>
                <c:pt idx="4">
                  <c:v>238847</c:v>
                </c:pt>
                <c:pt idx="5">
                  <c:v>229216</c:v>
                </c:pt>
                <c:pt idx="6">
                  <c:v>249324</c:v>
                </c:pt>
                <c:pt idx="7">
                  <c:v>239115</c:v>
                </c:pt>
                <c:pt idx="8">
                  <c:v>233268</c:v>
                </c:pt>
                <c:pt idx="9">
                  <c:v>227652</c:v>
                </c:pt>
                <c:pt idx="10">
                  <c:v>230882</c:v>
                </c:pt>
                <c:pt idx="11">
                  <c:v>254061</c:v>
                </c:pt>
                <c:pt idx="12">
                  <c:v>300342</c:v>
                </c:pt>
                <c:pt idx="13">
                  <c:v>267661</c:v>
                </c:pt>
                <c:pt idx="14">
                  <c:v>299702</c:v>
                </c:pt>
                <c:pt idx="15">
                  <c:v>251893</c:v>
                </c:pt>
                <c:pt idx="16">
                  <c:v>298766</c:v>
                </c:pt>
                <c:pt idx="17">
                  <c:v>302390</c:v>
                </c:pt>
                <c:pt idx="18">
                  <c:v>334986</c:v>
                </c:pt>
                <c:pt idx="19">
                  <c:v>346486</c:v>
                </c:pt>
                <c:pt idx="20">
                  <c:v>301007</c:v>
                </c:pt>
                <c:pt idx="21">
                  <c:v>291886</c:v>
                </c:pt>
                <c:pt idx="22">
                  <c:v>305279</c:v>
                </c:pt>
                <c:pt idx="23">
                  <c:v>317827</c:v>
                </c:pt>
                <c:pt idx="24">
                  <c:v>321639</c:v>
                </c:pt>
                <c:pt idx="25">
                  <c:v>323964</c:v>
                </c:pt>
                <c:pt idx="26">
                  <c:v>314719</c:v>
                </c:pt>
                <c:pt idx="27">
                  <c:v>318135</c:v>
                </c:pt>
                <c:pt idx="28">
                  <c:v>332518</c:v>
                </c:pt>
                <c:pt idx="29">
                  <c:v>329945</c:v>
                </c:pt>
                <c:pt idx="30">
                  <c:v>328621</c:v>
                </c:pt>
              </c:numCache>
            </c:numRef>
          </c:val>
          <c:smooth val="0"/>
          <c:extLst>
            <c:ext xmlns:c16="http://schemas.microsoft.com/office/drawing/2014/chart" uri="{C3380CC4-5D6E-409C-BE32-E72D297353CC}">
              <c16:uniqueId val="{00000000-715B-4332-9278-2EF91045414D}"/>
            </c:ext>
          </c:extLst>
        </c:ser>
        <c:ser>
          <c:idx val="1"/>
          <c:order val="1"/>
          <c:tx>
            <c:strRef>
              <c:f>Sales!$B$2</c:f>
              <c:strCache>
                <c:ptCount val="1"/>
                <c:pt idx="0">
                  <c:v>Fresh Domestic Sales</c:v>
                </c:pt>
              </c:strCache>
            </c:strRef>
          </c:tx>
          <c:spPr>
            <a:ln w="50800">
              <a:prstDash val="sysDot"/>
            </a:ln>
          </c:spPr>
          <c:marker>
            <c:symbol val="none"/>
          </c:marker>
          <c:cat>
            <c:strRef>
              <c:f>Sales!$A$3:$A$33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Sales!$B$3:$B$33</c:f>
              <c:numCache>
                <c:formatCode>#,##0</c:formatCode>
                <c:ptCount val="31"/>
                <c:pt idx="0">
                  <c:v>253597</c:v>
                </c:pt>
                <c:pt idx="1">
                  <c:v>234210</c:v>
                </c:pt>
                <c:pt idx="2">
                  <c:v>164998</c:v>
                </c:pt>
                <c:pt idx="3">
                  <c:v>173861</c:v>
                </c:pt>
                <c:pt idx="4">
                  <c:v>204648</c:v>
                </c:pt>
                <c:pt idx="5">
                  <c:v>210090</c:v>
                </c:pt>
                <c:pt idx="6">
                  <c:v>230850</c:v>
                </c:pt>
                <c:pt idx="7">
                  <c:v>216558</c:v>
                </c:pt>
                <c:pt idx="8">
                  <c:v>213542</c:v>
                </c:pt>
                <c:pt idx="9">
                  <c:v>201650</c:v>
                </c:pt>
                <c:pt idx="10">
                  <c:v>202114</c:v>
                </c:pt>
                <c:pt idx="11">
                  <c:v>214128</c:v>
                </c:pt>
                <c:pt idx="12">
                  <c:v>260249</c:v>
                </c:pt>
                <c:pt idx="13">
                  <c:v>236249</c:v>
                </c:pt>
                <c:pt idx="14">
                  <c:v>251789</c:v>
                </c:pt>
                <c:pt idx="15">
                  <c:v>202572</c:v>
                </c:pt>
                <c:pt idx="16">
                  <c:v>249318</c:v>
                </c:pt>
                <c:pt idx="17">
                  <c:v>238995</c:v>
                </c:pt>
                <c:pt idx="18">
                  <c:v>259746</c:v>
                </c:pt>
                <c:pt idx="19">
                  <c:v>291587</c:v>
                </c:pt>
                <c:pt idx="20">
                  <c:v>252694</c:v>
                </c:pt>
                <c:pt idx="21">
                  <c:v>241219</c:v>
                </c:pt>
                <c:pt idx="22">
                  <c:v>257012</c:v>
                </c:pt>
                <c:pt idx="23">
                  <c:v>258980</c:v>
                </c:pt>
                <c:pt idx="24">
                  <c:v>265364</c:v>
                </c:pt>
                <c:pt idx="25">
                  <c:v>270383</c:v>
                </c:pt>
                <c:pt idx="26">
                  <c:v>258767</c:v>
                </c:pt>
                <c:pt idx="27">
                  <c:v>270229</c:v>
                </c:pt>
                <c:pt idx="28">
                  <c:v>288697</c:v>
                </c:pt>
                <c:pt idx="29">
                  <c:v>284672</c:v>
                </c:pt>
                <c:pt idx="30">
                  <c:v>281317</c:v>
                </c:pt>
              </c:numCache>
            </c:numRef>
          </c:val>
          <c:smooth val="0"/>
          <c:extLst>
            <c:ext xmlns:c16="http://schemas.microsoft.com/office/drawing/2014/chart" uri="{C3380CC4-5D6E-409C-BE32-E72D297353CC}">
              <c16:uniqueId val="{00000001-715B-4332-9278-2EF91045414D}"/>
            </c:ext>
          </c:extLst>
        </c:ser>
        <c:ser>
          <c:idx val="2"/>
          <c:order val="2"/>
          <c:tx>
            <c:strRef>
              <c:f>Sales!$C$2</c:f>
              <c:strCache>
                <c:ptCount val="1"/>
                <c:pt idx="0">
                  <c:v>Fresh Export Sales</c:v>
                </c:pt>
              </c:strCache>
            </c:strRef>
          </c:tx>
          <c:spPr>
            <a:ln w="50800">
              <a:solidFill>
                <a:srgbClr val="00B0F0"/>
              </a:solidFill>
              <a:prstDash val="lgDash"/>
            </a:ln>
          </c:spPr>
          <c:marker>
            <c:symbol val="none"/>
          </c:marker>
          <c:cat>
            <c:strRef>
              <c:f>Sales!$A$3:$A$33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Sales!$C$3:$C$33</c:f>
              <c:numCache>
                <c:formatCode>#,##0</c:formatCode>
                <c:ptCount val="31"/>
                <c:pt idx="0">
                  <c:v>130596</c:v>
                </c:pt>
                <c:pt idx="1">
                  <c:v>123630</c:v>
                </c:pt>
                <c:pt idx="2">
                  <c:v>104659</c:v>
                </c:pt>
                <c:pt idx="3">
                  <c:v>66434</c:v>
                </c:pt>
                <c:pt idx="4">
                  <c:v>34199</c:v>
                </c:pt>
                <c:pt idx="5">
                  <c:v>19126</c:v>
                </c:pt>
                <c:pt idx="6">
                  <c:v>18474</c:v>
                </c:pt>
                <c:pt idx="7">
                  <c:v>22557</c:v>
                </c:pt>
                <c:pt idx="8">
                  <c:v>19726</c:v>
                </c:pt>
                <c:pt idx="9">
                  <c:v>26002</c:v>
                </c:pt>
                <c:pt idx="10">
                  <c:v>28768</c:v>
                </c:pt>
                <c:pt idx="11">
                  <c:v>39933</c:v>
                </c:pt>
                <c:pt idx="12">
                  <c:v>40093</c:v>
                </c:pt>
                <c:pt idx="13">
                  <c:v>31412</c:v>
                </c:pt>
                <c:pt idx="14">
                  <c:v>47913</c:v>
                </c:pt>
                <c:pt idx="15">
                  <c:v>49321</c:v>
                </c:pt>
                <c:pt idx="16">
                  <c:v>49448</c:v>
                </c:pt>
                <c:pt idx="17">
                  <c:v>63395</c:v>
                </c:pt>
                <c:pt idx="18">
                  <c:v>75240</c:v>
                </c:pt>
                <c:pt idx="19">
                  <c:v>54899</c:v>
                </c:pt>
                <c:pt idx="20">
                  <c:v>48313</c:v>
                </c:pt>
                <c:pt idx="21">
                  <c:v>50667</c:v>
                </c:pt>
                <c:pt idx="22">
                  <c:v>48267</c:v>
                </c:pt>
                <c:pt idx="23">
                  <c:v>58847</c:v>
                </c:pt>
                <c:pt idx="24">
                  <c:v>56275</c:v>
                </c:pt>
                <c:pt idx="25">
                  <c:v>53581</c:v>
                </c:pt>
                <c:pt idx="26">
                  <c:v>55952</c:v>
                </c:pt>
                <c:pt idx="27">
                  <c:v>47906</c:v>
                </c:pt>
                <c:pt idx="28">
                  <c:v>43821</c:v>
                </c:pt>
                <c:pt idx="29">
                  <c:v>45273</c:v>
                </c:pt>
                <c:pt idx="30">
                  <c:v>47304</c:v>
                </c:pt>
              </c:numCache>
            </c:numRef>
          </c:val>
          <c:smooth val="0"/>
          <c:extLst>
            <c:ext xmlns:c16="http://schemas.microsoft.com/office/drawing/2014/chart" uri="{C3380CC4-5D6E-409C-BE32-E72D297353CC}">
              <c16:uniqueId val="{00000002-715B-4332-9278-2EF91045414D}"/>
            </c:ext>
          </c:extLst>
        </c:ser>
        <c:dLbls>
          <c:showLegendKey val="0"/>
          <c:showVal val="0"/>
          <c:showCatName val="0"/>
          <c:showSerName val="0"/>
          <c:showPercent val="0"/>
          <c:showBubbleSize val="0"/>
        </c:dLbls>
        <c:smooth val="0"/>
        <c:axId val="475006448"/>
        <c:axId val="475006840"/>
      </c:lineChart>
      <c:catAx>
        <c:axId val="475006448"/>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6840"/>
        <c:crosses val="autoZero"/>
        <c:auto val="1"/>
        <c:lblAlgn val="ctr"/>
        <c:lblOffset val="100"/>
        <c:tickLblSkip val="4"/>
        <c:noMultiLvlLbl val="0"/>
      </c:catAx>
      <c:valAx>
        <c:axId val="475006840"/>
        <c:scaling>
          <c:orientation val="minMax"/>
          <c:max val="400000"/>
        </c:scaling>
        <c:delete val="0"/>
        <c:axPos val="l"/>
        <c:majorGridlines/>
        <c:title>
          <c:tx>
            <c:rich>
              <a:bodyPr/>
              <a:lstStyle/>
              <a:p>
                <a:pPr>
                  <a:defRPr sz="1600" b="1" i="0" u="none" strike="noStrike" baseline="0">
                    <a:solidFill>
                      <a:srgbClr val="000000"/>
                    </a:solidFill>
                    <a:latin typeface="Calibri"/>
                    <a:ea typeface="Calibri"/>
                    <a:cs typeface="Calibri"/>
                  </a:defRPr>
                </a:pPr>
                <a:r>
                  <a:rPr lang="en-US"/>
                  <a:t>Thousands</a:t>
                </a:r>
                <a:r>
                  <a:rPr lang="en-US" baseline="0"/>
                  <a:t> of </a:t>
                </a:r>
                <a:r>
                  <a:rPr lang="en-US"/>
                  <a:t>Barrels</a:t>
                </a:r>
              </a:p>
            </c:rich>
          </c:tx>
          <c:overlay val="0"/>
        </c:title>
        <c:numFmt formatCode="#,##0"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6448"/>
        <c:crosses val="autoZero"/>
        <c:crossBetween val="between"/>
        <c:dispUnits>
          <c:builtInUnit val="thousands"/>
        </c:dispUnits>
      </c:valAx>
    </c:plotArea>
    <c:legend>
      <c:legendPos val="b"/>
      <c:overlay val="0"/>
      <c:txPr>
        <a:bodyPr/>
        <a:lstStyle/>
        <a:p>
          <a:pPr>
            <a:defRPr sz="135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Processed Cranberry Sales</a:t>
            </a:r>
          </a:p>
        </c:rich>
      </c:tx>
      <c:overlay val="0"/>
    </c:title>
    <c:autoTitleDeleted val="0"/>
    <c:plotArea>
      <c:layout/>
      <c:lineChart>
        <c:grouping val="standard"/>
        <c:varyColors val="0"/>
        <c:ser>
          <c:idx val="0"/>
          <c:order val="0"/>
          <c:tx>
            <c:strRef>
              <c:f>Sales!$K$2</c:f>
              <c:strCache>
                <c:ptCount val="1"/>
                <c:pt idx="0">
                  <c:v>Total Processed Sales</c:v>
                </c:pt>
              </c:strCache>
            </c:strRef>
          </c:tx>
          <c:spPr>
            <a:ln w="50800">
              <a:solidFill>
                <a:schemeClr val="accent3"/>
              </a:solidFill>
            </a:ln>
          </c:spPr>
          <c:marker>
            <c:symbol val="none"/>
          </c:marker>
          <c:cat>
            <c:strRef>
              <c:f>Sales!$A$3:$A$33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Sales!$K$3:$K$33</c:f>
              <c:numCache>
                <c:formatCode>#,##0</c:formatCode>
                <c:ptCount val="31"/>
                <c:pt idx="0">
                  <c:v>3746861</c:v>
                </c:pt>
                <c:pt idx="1">
                  <c:v>3502235</c:v>
                </c:pt>
                <c:pt idx="2">
                  <c:v>3761673</c:v>
                </c:pt>
                <c:pt idx="3">
                  <c:v>4309330</c:v>
                </c:pt>
                <c:pt idx="4">
                  <c:v>3931451</c:v>
                </c:pt>
                <c:pt idx="5">
                  <c:v>4141761</c:v>
                </c:pt>
                <c:pt idx="6">
                  <c:v>4804261</c:v>
                </c:pt>
                <c:pt idx="7">
                  <c:v>4536311</c:v>
                </c:pt>
                <c:pt idx="8">
                  <c:v>4537969</c:v>
                </c:pt>
                <c:pt idx="9">
                  <c:v>4872016</c:v>
                </c:pt>
                <c:pt idx="10">
                  <c:v>5014496</c:v>
                </c:pt>
                <c:pt idx="11">
                  <c:v>5334148</c:v>
                </c:pt>
                <c:pt idx="12">
                  <c:v>6057184</c:v>
                </c:pt>
                <c:pt idx="13">
                  <c:v>6385505</c:v>
                </c:pt>
                <c:pt idx="14">
                  <c:v>6076647</c:v>
                </c:pt>
                <c:pt idx="15">
                  <c:v>6426775</c:v>
                </c:pt>
                <c:pt idx="16">
                  <c:v>6707048</c:v>
                </c:pt>
                <c:pt idx="17">
                  <c:v>6811015</c:v>
                </c:pt>
                <c:pt idx="18">
                  <c:v>6394102</c:v>
                </c:pt>
                <c:pt idx="19">
                  <c:v>6691306</c:v>
                </c:pt>
                <c:pt idx="20">
                  <c:v>6491810</c:v>
                </c:pt>
                <c:pt idx="21">
                  <c:v>6439537</c:v>
                </c:pt>
                <c:pt idx="22">
                  <c:v>6217879</c:v>
                </c:pt>
                <c:pt idx="23">
                  <c:v>6224636</c:v>
                </c:pt>
                <c:pt idx="24">
                  <c:v>5949482</c:v>
                </c:pt>
                <c:pt idx="25">
                  <c:v>6654105</c:v>
                </c:pt>
                <c:pt idx="26">
                  <c:v>6908411</c:v>
                </c:pt>
                <c:pt idx="27">
                  <c:v>7339793</c:v>
                </c:pt>
                <c:pt idx="28">
                  <c:v>7256088</c:v>
                </c:pt>
                <c:pt idx="29">
                  <c:v>8144485</c:v>
                </c:pt>
                <c:pt idx="30">
                  <c:v>7940465</c:v>
                </c:pt>
              </c:numCache>
            </c:numRef>
          </c:val>
          <c:smooth val="0"/>
          <c:extLst>
            <c:ext xmlns:c16="http://schemas.microsoft.com/office/drawing/2014/chart" uri="{C3380CC4-5D6E-409C-BE32-E72D297353CC}">
              <c16:uniqueId val="{00000000-98E9-493E-8218-589E17E7224C}"/>
            </c:ext>
          </c:extLst>
        </c:ser>
        <c:ser>
          <c:idx val="1"/>
          <c:order val="1"/>
          <c:tx>
            <c:strRef>
              <c:f>Sales!$D$2</c:f>
              <c:strCache>
                <c:ptCount val="1"/>
                <c:pt idx="0">
                  <c:v>Processed Domestic Sales</c:v>
                </c:pt>
              </c:strCache>
            </c:strRef>
          </c:tx>
          <c:spPr>
            <a:ln w="50800">
              <a:prstDash val="sysDot"/>
            </a:ln>
          </c:spPr>
          <c:marker>
            <c:symbol val="none"/>
          </c:marker>
          <c:cat>
            <c:strRef>
              <c:f>Sales!$A$3:$A$33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Sales!$D$3:$D$33</c:f>
              <c:numCache>
                <c:formatCode>#,##0</c:formatCode>
                <c:ptCount val="31"/>
                <c:pt idx="0">
                  <c:v>3693561</c:v>
                </c:pt>
                <c:pt idx="1">
                  <c:v>3433799</c:v>
                </c:pt>
                <c:pt idx="2">
                  <c:v>3665882</c:v>
                </c:pt>
                <c:pt idx="3">
                  <c:v>4173095</c:v>
                </c:pt>
                <c:pt idx="4">
                  <c:v>3755315</c:v>
                </c:pt>
                <c:pt idx="5">
                  <c:v>3878172</c:v>
                </c:pt>
                <c:pt idx="6">
                  <c:v>4461657</c:v>
                </c:pt>
                <c:pt idx="7">
                  <c:v>4161843</c:v>
                </c:pt>
                <c:pt idx="8">
                  <c:v>4071969</c:v>
                </c:pt>
                <c:pt idx="9">
                  <c:v>4370025</c:v>
                </c:pt>
                <c:pt idx="10">
                  <c:v>4338015</c:v>
                </c:pt>
                <c:pt idx="11">
                  <c:v>4474297</c:v>
                </c:pt>
                <c:pt idx="12">
                  <c:v>5272813</c:v>
                </c:pt>
                <c:pt idx="13">
                  <c:v>5822142</c:v>
                </c:pt>
                <c:pt idx="14">
                  <c:v>4825187</c:v>
                </c:pt>
                <c:pt idx="15">
                  <c:v>4991500</c:v>
                </c:pt>
                <c:pt idx="16">
                  <c:v>5248884</c:v>
                </c:pt>
                <c:pt idx="17">
                  <c:v>5196723</c:v>
                </c:pt>
                <c:pt idx="18">
                  <c:v>4908279</c:v>
                </c:pt>
                <c:pt idx="19">
                  <c:v>5172241</c:v>
                </c:pt>
                <c:pt idx="20">
                  <c:v>4701831</c:v>
                </c:pt>
                <c:pt idx="21">
                  <c:v>4671458</c:v>
                </c:pt>
                <c:pt idx="22">
                  <c:v>4714664</c:v>
                </c:pt>
                <c:pt idx="23">
                  <c:v>4571098</c:v>
                </c:pt>
                <c:pt idx="24">
                  <c:v>4355999</c:v>
                </c:pt>
                <c:pt idx="25">
                  <c:v>4584764</c:v>
                </c:pt>
                <c:pt idx="26">
                  <c:v>4835007</c:v>
                </c:pt>
                <c:pt idx="27">
                  <c:v>5019799</c:v>
                </c:pt>
                <c:pt idx="28">
                  <c:v>4946025</c:v>
                </c:pt>
                <c:pt idx="29">
                  <c:v>5551583</c:v>
                </c:pt>
                <c:pt idx="30">
                  <c:v>5106271</c:v>
                </c:pt>
              </c:numCache>
            </c:numRef>
          </c:val>
          <c:smooth val="0"/>
          <c:extLst>
            <c:ext xmlns:c16="http://schemas.microsoft.com/office/drawing/2014/chart" uri="{C3380CC4-5D6E-409C-BE32-E72D297353CC}">
              <c16:uniqueId val="{00000001-98E9-493E-8218-589E17E7224C}"/>
            </c:ext>
          </c:extLst>
        </c:ser>
        <c:ser>
          <c:idx val="2"/>
          <c:order val="2"/>
          <c:tx>
            <c:strRef>
              <c:f>Sales!$E$2</c:f>
              <c:strCache>
                <c:ptCount val="1"/>
                <c:pt idx="0">
                  <c:v>Processed Export Sales</c:v>
                </c:pt>
              </c:strCache>
            </c:strRef>
          </c:tx>
          <c:spPr>
            <a:ln w="50800">
              <a:solidFill>
                <a:srgbClr val="00B0F0"/>
              </a:solidFill>
              <a:prstDash val="lgDash"/>
            </a:ln>
          </c:spPr>
          <c:marker>
            <c:symbol val="none"/>
          </c:marker>
          <c:cat>
            <c:strRef>
              <c:f>Sales!$A$3:$A$33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Sales!$E$3:$E$33</c:f>
              <c:numCache>
                <c:formatCode>#,##0</c:formatCode>
                <c:ptCount val="31"/>
                <c:pt idx="0">
                  <c:v>53300</c:v>
                </c:pt>
                <c:pt idx="1">
                  <c:v>68436</c:v>
                </c:pt>
                <c:pt idx="2">
                  <c:v>95791</c:v>
                </c:pt>
                <c:pt idx="3">
                  <c:v>136235</c:v>
                </c:pt>
                <c:pt idx="4">
                  <c:v>176136</c:v>
                </c:pt>
                <c:pt idx="5">
                  <c:v>263589</c:v>
                </c:pt>
                <c:pt idx="6">
                  <c:v>342604</c:v>
                </c:pt>
                <c:pt idx="7">
                  <c:v>374468</c:v>
                </c:pt>
                <c:pt idx="8">
                  <c:v>466000</c:v>
                </c:pt>
                <c:pt idx="9">
                  <c:v>501991</c:v>
                </c:pt>
                <c:pt idx="10">
                  <c:v>676481</c:v>
                </c:pt>
                <c:pt idx="11">
                  <c:v>859851</c:v>
                </c:pt>
                <c:pt idx="12">
                  <c:v>784371</c:v>
                </c:pt>
                <c:pt idx="13">
                  <c:v>563363</c:v>
                </c:pt>
                <c:pt idx="14">
                  <c:v>1251460</c:v>
                </c:pt>
                <c:pt idx="15">
                  <c:v>1435275</c:v>
                </c:pt>
                <c:pt idx="16">
                  <c:v>1458164</c:v>
                </c:pt>
                <c:pt idx="17">
                  <c:v>1614292</c:v>
                </c:pt>
                <c:pt idx="18">
                  <c:v>1485823</c:v>
                </c:pt>
                <c:pt idx="19">
                  <c:v>1519065</c:v>
                </c:pt>
                <c:pt idx="20">
                  <c:v>1789979</c:v>
                </c:pt>
                <c:pt idx="21">
                  <c:v>1768079</c:v>
                </c:pt>
                <c:pt idx="22">
                  <c:v>1503215</c:v>
                </c:pt>
                <c:pt idx="23">
                  <c:v>1653538</c:v>
                </c:pt>
                <c:pt idx="24">
                  <c:v>1593483</c:v>
                </c:pt>
                <c:pt idx="25">
                  <c:v>2069341</c:v>
                </c:pt>
                <c:pt idx="26">
                  <c:v>2073404</c:v>
                </c:pt>
                <c:pt idx="27">
                  <c:v>2319994</c:v>
                </c:pt>
                <c:pt idx="28">
                  <c:v>2310063</c:v>
                </c:pt>
                <c:pt idx="29">
                  <c:v>2592902</c:v>
                </c:pt>
                <c:pt idx="30">
                  <c:v>2834194</c:v>
                </c:pt>
              </c:numCache>
            </c:numRef>
          </c:val>
          <c:smooth val="0"/>
          <c:extLst>
            <c:ext xmlns:c16="http://schemas.microsoft.com/office/drawing/2014/chart" uri="{C3380CC4-5D6E-409C-BE32-E72D297353CC}">
              <c16:uniqueId val="{00000002-98E9-493E-8218-589E17E7224C}"/>
            </c:ext>
          </c:extLst>
        </c:ser>
        <c:dLbls>
          <c:showLegendKey val="0"/>
          <c:showVal val="0"/>
          <c:showCatName val="0"/>
          <c:showSerName val="0"/>
          <c:showPercent val="0"/>
          <c:showBubbleSize val="0"/>
        </c:dLbls>
        <c:smooth val="0"/>
        <c:axId val="475002528"/>
        <c:axId val="475000960"/>
      </c:lineChart>
      <c:catAx>
        <c:axId val="475002528"/>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0960"/>
        <c:crosses val="autoZero"/>
        <c:auto val="1"/>
        <c:lblAlgn val="ctr"/>
        <c:lblOffset val="100"/>
        <c:tickLblSkip val="4"/>
        <c:noMultiLvlLbl val="0"/>
      </c:catAx>
      <c:valAx>
        <c:axId val="475000960"/>
        <c:scaling>
          <c:orientation val="minMax"/>
          <c:max val="10000000"/>
        </c:scaling>
        <c:delete val="0"/>
        <c:axPos val="l"/>
        <c:majorGridlines/>
        <c:title>
          <c:tx>
            <c:rich>
              <a:bodyPr/>
              <a:lstStyle/>
              <a:p>
                <a:pPr>
                  <a:defRPr sz="1600" b="1" i="0" u="none" strike="noStrike" baseline="0">
                    <a:solidFill>
                      <a:srgbClr val="000000"/>
                    </a:solidFill>
                    <a:latin typeface="Calibri"/>
                    <a:ea typeface="Calibri"/>
                    <a:cs typeface="Calibri"/>
                  </a:defRPr>
                </a:pPr>
                <a:r>
                  <a:rPr lang="en-US"/>
                  <a:t>Thousands of Barrels</a:t>
                </a:r>
              </a:p>
            </c:rich>
          </c:tx>
          <c:overlay val="0"/>
        </c:title>
        <c:numFmt formatCode="#,##0"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2528"/>
        <c:crosses val="autoZero"/>
        <c:crossBetween val="between"/>
        <c:dispUnits>
          <c:builtInUnit val="thousands"/>
        </c:dispUnits>
      </c:valAx>
    </c:plotArea>
    <c:legend>
      <c:legendPos val="b"/>
      <c:overlay val="0"/>
      <c:txPr>
        <a:bodyPr/>
        <a:lstStyle/>
        <a:p>
          <a:pPr>
            <a:defRPr sz="135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Concentrate Cranberry Sales</a:t>
            </a:r>
          </a:p>
        </c:rich>
      </c:tx>
      <c:overlay val="0"/>
    </c:title>
    <c:autoTitleDeleted val="0"/>
    <c:plotArea>
      <c:layout>
        <c:manualLayout>
          <c:layoutTarget val="inner"/>
          <c:xMode val="edge"/>
          <c:yMode val="edge"/>
          <c:x val="0.12664970724813243"/>
          <c:y val="0.10698945098172458"/>
          <c:w val="0.85723307663465143"/>
          <c:h val="0.77584709528093299"/>
        </c:manualLayout>
      </c:layout>
      <c:lineChart>
        <c:grouping val="standard"/>
        <c:varyColors val="0"/>
        <c:ser>
          <c:idx val="10"/>
          <c:order val="3"/>
          <c:tx>
            <c:strRef>
              <c:f>Sales!$L$2</c:f>
              <c:strCache>
                <c:ptCount val="1"/>
                <c:pt idx="0">
                  <c:v>Total Concentrate Sales</c:v>
                </c:pt>
              </c:strCache>
            </c:strRef>
          </c:tx>
          <c:spPr>
            <a:ln w="50800">
              <a:solidFill>
                <a:schemeClr val="accent3"/>
              </a:solidFill>
            </a:ln>
          </c:spPr>
          <c:marker>
            <c:symbol val="none"/>
          </c:marker>
          <c:cat>
            <c:strRef>
              <c:extLst>
                <c:ext xmlns:c15="http://schemas.microsoft.com/office/drawing/2012/chart" uri="{02D57815-91ED-43cb-92C2-25804820EDAC}">
                  <c15:fullRef>
                    <c15:sqref>Sales!$A$3:$A$33</c15:sqref>
                  </c15:fullRef>
                </c:ext>
              </c:extLst>
              <c:f>Sales!$A$24:$A$33</c:f>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Sales!$L$3:$L$33</c15:sqref>
                  </c15:fullRef>
                </c:ext>
              </c:extLst>
              <c:f>Sales!$L$24:$L$33</c:f>
              <c:numCache>
                <c:formatCode>#,##0</c:formatCode>
                <c:ptCount val="10"/>
                <c:pt idx="0">
                  <c:v>857760</c:v>
                </c:pt>
                <c:pt idx="1">
                  <c:v>1657370</c:v>
                </c:pt>
                <c:pt idx="2">
                  <c:v>1252600</c:v>
                </c:pt>
                <c:pt idx="3">
                  <c:v>1506963</c:v>
                </c:pt>
                <c:pt idx="4">
                  <c:v>1304845</c:v>
                </c:pt>
                <c:pt idx="5">
                  <c:v>1494440</c:v>
                </c:pt>
                <c:pt idx="6">
                  <c:v>1401086</c:v>
                </c:pt>
                <c:pt idx="7">
                  <c:v>1536836</c:v>
                </c:pt>
                <c:pt idx="8">
                  <c:v>2161913</c:v>
                </c:pt>
                <c:pt idx="9">
                  <c:v>1750720</c:v>
                </c:pt>
              </c:numCache>
            </c:numRef>
          </c:val>
          <c:smooth val="0"/>
          <c:extLst>
            <c:ext xmlns:c16="http://schemas.microsoft.com/office/drawing/2014/chart" uri="{C3380CC4-5D6E-409C-BE32-E72D297353CC}">
              <c16:uniqueId val="{00000008-E617-434E-9BFA-A30974066B28}"/>
            </c:ext>
          </c:extLst>
        </c:ser>
        <c:ser>
          <c:idx val="4"/>
          <c:order val="4"/>
          <c:tx>
            <c:strRef>
              <c:f>Sales!$F$2</c:f>
              <c:strCache>
                <c:ptCount val="1"/>
                <c:pt idx="0">
                  <c:v>Concentrate Domestic Sales</c:v>
                </c:pt>
              </c:strCache>
            </c:strRef>
          </c:tx>
          <c:spPr>
            <a:ln w="50800" cmpd="dbl">
              <a:solidFill>
                <a:srgbClr val="C00000"/>
              </a:solidFill>
              <a:prstDash val="sysDot"/>
            </a:ln>
          </c:spPr>
          <c:marker>
            <c:symbol val="none"/>
          </c:marker>
          <c:cat>
            <c:strRef>
              <c:extLst>
                <c:ext xmlns:c15="http://schemas.microsoft.com/office/drawing/2012/chart" uri="{02D57815-91ED-43cb-92C2-25804820EDAC}">
                  <c15:fullRef>
                    <c15:sqref>Sales!$A$3:$A$33</c15:sqref>
                  </c15:fullRef>
                </c:ext>
              </c:extLst>
              <c:f>Sales!$A$24:$A$33</c:f>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Sales!$F$3:$F$33</c15:sqref>
                  </c15:fullRef>
                </c:ext>
              </c:extLst>
              <c:f>Sales!$F$24:$F$33</c:f>
              <c:numCache>
                <c:formatCode>#,##0</c:formatCode>
                <c:ptCount val="10"/>
                <c:pt idx="0">
                  <c:v>821696</c:v>
                </c:pt>
                <c:pt idx="1">
                  <c:v>959955</c:v>
                </c:pt>
                <c:pt idx="2">
                  <c:v>704182</c:v>
                </c:pt>
                <c:pt idx="3">
                  <c:v>830135</c:v>
                </c:pt>
                <c:pt idx="4">
                  <c:v>713418</c:v>
                </c:pt>
                <c:pt idx="5">
                  <c:v>896957</c:v>
                </c:pt>
                <c:pt idx="6">
                  <c:v>751875</c:v>
                </c:pt>
                <c:pt idx="7">
                  <c:v>885599</c:v>
                </c:pt>
                <c:pt idx="8">
                  <c:v>1420151</c:v>
                </c:pt>
                <c:pt idx="9">
                  <c:v>1223945</c:v>
                </c:pt>
              </c:numCache>
            </c:numRef>
          </c:val>
          <c:smooth val="0"/>
          <c:extLst>
            <c:ext xmlns:c16="http://schemas.microsoft.com/office/drawing/2014/chart" uri="{C3380CC4-5D6E-409C-BE32-E72D297353CC}">
              <c16:uniqueId val="{00000002-E617-434E-9BFA-A30974066B28}"/>
            </c:ext>
          </c:extLst>
        </c:ser>
        <c:ser>
          <c:idx val="5"/>
          <c:order val="6"/>
          <c:tx>
            <c:strRef>
              <c:f>Sales!$G$2</c:f>
              <c:strCache>
                <c:ptCount val="1"/>
                <c:pt idx="0">
                  <c:v>Concentrate Export Sales</c:v>
                </c:pt>
              </c:strCache>
            </c:strRef>
          </c:tx>
          <c:spPr>
            <a:ln w="50800" cmpd="sng">
              <a:solidFill>
                <a:schemeClr val="tx2">
                  <a:lumMod val="60000"/>
                  <a:lumOff val="40000"/>
                </a:schemeClr>
              </a:solidFill>
              <a:prstDash val="lgDash"/>
            </a:ln>
          </c:spPr>
          <c:marker>
            <c:symbol val="none"/>
          </c:marker>
          <c:cat>
            <c:strRef>
              <c:extLst>
                <c:ext xmlns:c15="http://schemas.microsoft.com/office/drawing/2012/chart" uri="{02D57815-91ED-43cb-92C2-25804820EDAC}">
                  <c15:fullRef>
                    <c15:sqref>Sales!$A$3:$A$33</c15:sqref>
                  </c15:fullRef>
                </c:ext>
              </c:extLst>
              <c:f>Sales!$A$24:$A$33</c:f>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Sales!$G$3:$G$33</c15:sqref>
                  </c15:fullRef>
                </c:ext>
              </c:extLst>
              <c:f>Sales!$G$24:$G$33</c:f>
              <c:numCache>
                <c:formatCode>General</c:formatCode>
                <c:ptCount val="10"/>
                <c:pt idx="0" formatCode="_(* #,##0_);_(* \(#,##0\);_(* &quot;-&quot;??_);_(@_)">
                  <c:v>36064</c:v>
                </c:pt>
                <c:pt idx="1" formatCode="_(* #,##0_);_(* \(#,##0\);_(* &quot;-&quot;??_);_(@_)">
                  <c:v>697415</c:v>
                </c:pt>
                <c:pt idx="2" formatCode="_(* #,##0_);_(* \(#,##0\);_(* &quot;-&quot;??_);_(@_)">
                  <c:v>548418</c:v>
                </c:pt>
                <c:pt idx="3" formatCode="_(* #,##0_);_(* \(#,##0\);_(* &quot;-&quot;??_);_(@_)">
                  <c:v>676828</c:v>
                </c:pt>
                <c:pt idx="4" formatCode="_(* #,##0_);_(* \(#,##0\);_(* &quot;-&quot;??_);_(@_)">
                  <c:v>591427</c:v>
                </c:pt>
                <c:pt idx="5" formatCode="_(* #,##0_);_(* \(#,##0\);_(* &quot;-&quot;??_);_(@_)">
                  <c:v>597483</c:v>
                </c:pt>
                <c:pt idx="6" formatCode="_(* #,##0_);_(* \(#,##0\);_(* &quot;-&quot;??_);_(@_)">
                  <c:v>649211</c:v>
                </c:pt>
                <c:pt idx="7" formatCode="_(* #,##0_);_(* \(#,##0\);_(* &quot;-&quot;??_);_(@_)">
                  <c:v>651237</c:v>
                </c:pt>
                <c:pt idx="8" formatCode="_(* #,##0_);_(* \(#,##0\);_(* &quot;-&quot;??_);_(@_)">
                  <c:v>741762</c:v>
                </c:pt>
                <c:pt idx="9" formatCode="_(* #,##0_);_(* \(#,##0\);_(* &quot;-&quot;??_);_(@_)">
                  <c:v>526775</c:v>
                </c:pt>
              </c:numCache>
            </c:numRef>
          </c:val>
          <c:smooth val="0"/>
          <c:extLst>
            <c:ext xmlns:c16="http://schemas.microsoft.com/office/drawing/2014/chart" uri="{C3380CC4-5D6E-409C-BE32-E72D297353CC}">
              <c16:uniqueId val="{00000003-E617-434E-9BFA-A30974066B28}"/>
            </c:ext>
          </c:extLst>
        </c:ser>
        <c:dLbls>
          <c:showLegendKey val="0"/>
          <c:showVal val="0"/>
          <c:showCatName val="0"/>
          <c:showSerName val="0"/>
          <c:showPercent val="0"/>
          <c:showBubbleSize val="0"/>
        </c:dLbls>
        <c:smooth val="0"/>
        <c:axId val="475006056"/>
        <c:axId val="475001352"/>
        <c:extLst>
          <c:ext xmlns:c15="http://schemas.microsoft.com/office/drawing/2012/chart" uri="{02D57815-91ED-43cb-92C2-25804820EDAC}">
            <c15:filteredLineSeries>
              <c15:ser>
                <c:idx val="0"/>
                <c:order val="0"/>
                <c:tx>
                  <c:strRef>
                    <c:extLst>
                      <c:ext uri="{02D57815-91ED-43cb-92C2-25804820EDAC}">
                        <c15:formulaRef>
                          <c15:sqref>Sales!$B$2</c15:sqref>
                        </c15:formulaRef>
                      </c:ext>
                    </c:extLst>
                    <c:strCache>
                      <c:ptCount val="1"/>
                      <c:pt idx="0">
                        <c:v>Fresh Domestic Sales</c:v>
                      </c:pt>
                    </c:strCache>
                  </c:strRef>
                </c:tx>
                <c:spPr>
                  <a:ln w="50800">
                    <a:solidFill>
                      <a:srgbClr val="92D050"/>
                    </a:solidFill>
                  </a:ln>
                </c:spPr>
                <c:marker>
                  <c:symbol val="none"/>
                </c:marker>
                <c:cat>
                  <c:strRef>
                    <c:extLst>
                      <c:ex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uri="{02D57815-91ED-43cb-92C2-25804820EDAC}">
                        <c15:fullRef>
                          <c15:sqref>Sales!$B$3:$B$33</c15:sqref>
                        </c15:fullRef>
                        <c15:formulaRef>
                          <c15:sqref>Sales!$B$24:$B$33</c15:sqref>
                        </c15:formulaRef>
                      </c:ext>
                    </c:extLst>
                    <c:numCache>
                      <c:formatCode>#,##0</c:formatCode>
                      <c:ptCount val="10"/>
                      <c:pt idx="0">
                        <c:v>241219</c:v>
                      </c:pt>
                      <c:pt idx="1">
                        <c:v>257012</c:v>
                      </c:pt>
                      <c:pt idx="2">
                        <c:v>258980</c:v>
                      </c:pt>
                      <c:pt idx="3">
                        <c:v>265364</c:v>
                      </c:pt>
                      <c:pt idx="4">
                        <c:v>270383</c:v>
                      </c:pt>
                      <c:pt idx="5">
                        <c:v>258767</c:v>
                      </c:pt>
                      <c:pt idx="6">
                        <c:v>270229</c:v>
                      </c:pt>
                      <c:pt idx="7">
                        <c:v>288697</c:v>
                      </c:pt>
                      <c:pt idx="8">
                        <c:v>284672</c:v>
                      </c:pt>
                      <c:pt idx="9">
                        <c:v>281317</c:v>
                      </c:pt>
                    </c:numCache>
                  </c:numRef>
                </c:val>
                <c:smooth val="0"/>
                <c:extLst>
                  <c:ext xmlns:c16="http://schemas.microsoft.com/office/drawing/2014/chart" uri="{C3380CC4-5D6E-409C-BE32-E72D297353CC}">
                    <c16:uniqueId val="{00000000-138E-45D9-9CB4-CEE93B1348C9}"/>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Sales!$C$2</c15:sqref>
                        </c15:formulaRef>
                      </c:ext>
                    </c:extLst>
                    <c:strCache>
                      <c:ptCount val="1"/>
                      <c:pt idx="0">
                        <c:v>Fresh Export Sales</c:v>
                      </c:pt>
                    </c:strCache>
                  </c:strRef>
                </c:tx>
                <c:spPr>
                  <a:ln w="44450">
                    <a:solidFill>
                      <a:schemeClr val="tx1">
                        <a:lumMod val="95000"/>
                        <a:lumOff val="5000"/>
                      </a:schemeClr>
                    </a:solidFill>
                  </a:ln>
                </c:spPr>
                <c:marker>
                  <c:symbol val="none"/>
                </c:marker>
                <c:cat>
                  <c:strRef>
                    <c:extLst>
                      <c:ext xmlns:c15="http://schemas.microsoft.com/office/drawing/2012/char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Sales!$C$3:$C$33</c15:sqref>
                        </c15:fullRef>
                        <c15:formulaRef>
                          <c15:sqref>Sales!$C$24:$C$33</c15:sqref>
                        </c15:formulaRef>
                      </c:ext>
                    </c:extLst>
                    <c:numCache>
                      <c:formatCode>#,##0</c:formatCode>
                      <c:ptCount val="10"/>
                      <c:pt idx="0">
                        <c:v>50667</c:v>
                      </c:pt>
                      <c:pt idx="1">
                        <c:v>48267</c:v>
                      </c:pt>
                      <c:pt idx="2">
                        <c:v>58847</c:v>
                      </c:pt>
                      <c:pt idx="3">
                        <c:v>56275</c:v>
                      </c:pt>
                      <c:pt idx="4">
                        <c:v>53581</c:v>
                      </c:pt>
                      <c:pt idx="5">
                        <c:v>55952</c:v>
                      </c:pt>
                      <c:pt idx="6">
                        <c:v>47906</c:v>
                      </c:pt>
                      <c:pt idx="7">
                        <c:v>43821</c:v>
                      </c:pt>
                      <c:pt idx="8">
                        <c:v>45273</c:v>
                      </c:pt>
                      <c:pt idx="9">
                        <c:v>47304</c:v>
                      </c:pt>
                    </c:numCache>
                  </c:numRef>
                </c:val>
                <c:smooth val="0"/>
                <c:extLst xmlns:c15="http://schemas.microsoft.com/office/drawing/2012/chart">
                  <c:ext xmlns:c16="http://schemas.microsoft.com/office/drawing/2014/chart" uri="{C3380CC4-5D6E-409C-BE32-E72D297353CC}">
                    <c16:uniqueId val="{00000000-BA85-49D0-81B8-57384ECA6684}"/>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Sales!$D$2</c15:sqref>
                        </c15:formulaRef>
                      </c:ext>
                    </c:extLst>
                    <c:strCache>
                      <c:ptCount val="1"/>
                      <c:pt idx="0">
                        <c:v>Processed Domestic Sales</c:v>
                      </c:pt>
                    </c:strCache>
                  </c:strRef>
                </c:tx>
                <c:marker>
                  <c:symbol val="none"/>
                </c:marker>
                <c:cat>
                  <c:strRef>
                    <c:extLst>
                      <c:ext xmlns:c15="http://schemas.microsoft.com/office/drawing/2012/char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Sales!$D$3:$D$33</c15:sqref>
                        </c15:fullRef>
                        <c15:formulaRef>
                          <c15:sqref>Sales!$D$24:$D$33</c15:sqref>
                        </c15:formulaRef>
                      </c:ext>
                    </c:extLst>
                    <c:numCache>
                      <c:formatCode>#,##0</c:formatCode>
                      <c:ptCount val="10"/>
                      <c:pt idx="0">
                        <c:v>4671458</c:v>
                      </c:pt>
                      <c:pt idx="1">
                        <c:v>4714664</c:v>
                      </c:pt>
                      <c:pt idx="2">
                        <c:v>4571098</c:v>
                      </c:pt>
                      <c:pt idx="3">
                        <c:v>4355999</c:v>
                      </c:pt>
                      <c:pt idx="4">
                        <c:v>4584764</c:v>
                      </c:pt>
                      <c:pt idx="5">
                        <c:v>4835007</c:v>
                      </c:pt>
                      <c:pt idx="6">
                        <c:v>5019799</c:v>
                      </c:pt>
                      <c:pt idx="7">
                        <c:v>4946025</c:v>
                      </c:pt>
                      <c:pt idx="8">
                        <c:v>5551583</c:v>
                      </c:pt>
                      <c:pt idx="9">
                        <c:v>5106271</c:v>
                      </c:pt>
                    </c:numCache>
                  </c:numRef>
                </c:val>
                <c:smooth val="0"/>
                <c:extLst xmlns:c15="http://schemas.microsoft.com/office/drawing/2012/chart">
                  <c:ext xmlns:c16="http://schemas.microsoft.com/office/drawing/2014/chart" uri="{C3380CC4-5D6E-409C-BE32-E72D297353CC}">
                    <c16:uniqueId val="{00000000-E617-434E-9BFA-A30974066B28}"/>
                  </c:ext>
                </c:extLst>
              </c15:ser>
            </c15:filteredLineSeries>
            <c15:filteredLineSeries>
              <c15:ser>
                <c:idx val="3"/>
                <c:order val="5"/>
                <c:tx>
                  <c:strRef>
                    <c:extLst xmlns:c15="http://schemas.microsoft.com/office/drawing/2012/chart">
                      <c:ext xmlns:c15="http://schemas.microsoft.com/office/drawing/2012/chart" uri="{02D57815-91ED-43cb-92C2-25804820EDAC}">
                        <c15:formulaRef>
                          <c15:sqref>Sales!$E$2</c15:sqref>
                        </c15:formulaRef>
                      </c:ext>
                    </c:extLst>
                    <c:strCache>
                      <c:ptCount val="1"/>
                      <c:pt idx="0">
                        <c:v>Processed Export Sales</c:v>
                      </c:pt>
                    </c:strCache>
                  </c:strRef>
                </c:tx>
                <c:marker>
                  <c:symbol val="none"/>
                </c:marker>
                <c:cat>
                  <c:strRef>
                    <c:extLst>
                      <c:ext xmlns:c15="http://schemas.microsoft.com/office/drawing/2012/char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Sales!$E$3:$E$33</c15:sqref>
                        </c15:fullRef>
                        <c15:formulaRef>
                          <c15:sqref>Sales!$E$24:$E$33</c15:sqref>
                        </c15:formulaRef>
                      </c:ext>
                    </c:extLst>
                    <c:numCache>
                      <c:formatCode>#,##0</c:formatCode>
                      <c:ptCount val="10"/>
                      <c:pt idx="0">
                        <c:v>1768079</c:v>
                      </c:pt>
                      <c:pt idx="1">
                        <c:v>1503215</c:v>
                      </c:pt>
                      <c:pt idx="2">
                        <c:v>1653538</c:v>
                      </c:pt>
                      <c:pt idx="3">
                        <c:v>1593483</c:v>
                      </c:pt>
                      <c:pt idx="4">
                        <c:v>2069341</c:v>
                      </c:pt>
                      <c:pt idx="5">
                        <c:v>2073404</c:v>
                      </c:pt>
                      <c:pt idx="6">
                        <c:v>2319994</c:v>
                      </c:pt>
                      <c:pt idx="7">
                        <c:v>2310063</c:v>
                      </c:pt>
                      <c:pt idx="8">
                        <c:v>2592902</c:v>
                      </c:pt>
                      <c:pt idx="9">
                        <c:v>2834194</c:v>
                      </c:pt>
                    </c:numCache>
                  </c:numRef>
                </c:val>
                <c:smooth val="0"/>
                <c:extLst xmlns:c15="http://schemas.microsoft.com/office/drawing/2012/chart">
                  <c:ext xmlns:c16="http://schemas.microsoft.com/office/drawing/2014/chart" uri="{C3380CC4-5D6E-409C-BE32-E72D297353CC}">
                    <c16:uniqueId val="{00000001-E617-434E-9BFA-A30974066B28}"/>
                  </c:ext>
                </c:extLst>
              </c15:ser>
            </c15:filteredLineSeries>
            <c15:filteredLineSeries>
              <c15:ser>
                <c:idx val="6"/>
                <c:order val="7"/>
                <c:tx>
                  <c:strRef>
                    <c:extLst xmlns:c15="http://schemas.microsoft.com/office/drawing/2012/chart">
                      <c:ext xmlns:c15="http://schemas.microsoft.com/office/drawing/2012/chart" uri="{02D57815-91ED-43cb-92C2-25804820EDAC}">
                        <c15:formulaRef>
                          <c15:sqref>Sales!$H$2</c15:sqref>
                        </c15:formulaRef>
                      </c:ext>
                    </c:extLst>
                    <c:strCache>
                      <c:ptCount val="1"/>
                      <c:pt idx="0">
                        <c:v>Government Sales</c:v>
                      </c:pt>
                    </c:strCache>
                  </c:strRef>
                </c:tx>
                <c:marker>
                  <c:symbol val="none"/>
                </c:marker>
                <c:cat>
                  <c:strRef>
                    <c:extLst>
                      <c:ext xmlns:c15="http://schemas.microsoft.com/office/drawing/2012/char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Sales!$H$3:$H$33</c15:sqref>
                        </c15:fullRef>
                        <c15:formulaRef>
                          <c15:sqref>Sales!$H$24:$H$33</c15:sqref>
                        </c15:formulaRef>
                      </c:ext>
                    </c:extLst>
                    <c:numCache>
                      <c:formatCode>General</c:formatCode>
                      <c:ptCount val="10"/>
                      <c:pt idx="0" formatCode="_(* #,##0_);_(* \(#,##0\);_(* &quot;-&quot;??_);_(@_)">
                        <c:v>43387</c:v>
                      </c:pt>
                      <c:pt idx="1" formatCode="_(* #,##0_);_(* \(#,##0\);_(* &quot;-&quot;??_);_(@_)">
                        <c:v>42391</c:v>
                      </c:pt>
                      <c:pt idx="2" formatCode="_(* #,##0_);_(* \(#,##0\);_(* &quot;-&quot;??_);_(@_)">
                        <c:v>40034</c:v>
                      </c:pt>
                      <c:pt idx="3" formatCode="_(* #,##0_);_(* \(#,##0\);_(* &quot;-&quot;??_);_(@_)">
                        <c:v>51270</c:v>
                      </c:pt>
                      <c:pt idx="4" formatCode="_(* #,##0_);_(* \(#,##0\);_(* &quot;-&quot;??_);_(@_)">
                        <c:v>257528</c:v>
                      </c:pt>
                      <c:pt idx="5" formatCode="_(* #,##0_);_(* \(#,##0\);_(* &quot;-&quot;??_);_(@_)">
                        <c:v>432967</c:v>
                      </c:pt>
                      <c:pt idx="6" formatCode="_(* #,##0_);_(* \(#,##0\);_(* &quot;-&quot;??_);_(@_)">
                        <c:v>431573</c:v>
                      </c:pt>
                      <c:pt idx="7" formatCode="_(* #,##0_);_(* \(#,##0\);_(* &quot;-&quot;??_);_(@_)">
                        <c:v>428481</c:v>
                      </c:pt>
                      <c:pt idx="8" formatCode="_(* #,##0_);_(* \(#,##0\);_(* &quot;-&quot;??_);_(@_)">
                        <c:v>81341</c:v>
                      </c:pt>
                      <c:pt idx="9" formatCode="_(* #,##0_);_(* \(#,##0\);_(* &quot;-&quot;??_);_(@_)">
                        <c:v>110733</c:v>
                      </c:pt>
                    </c:numCache>
                  </c:numRef>
                </c:val>
                <c:smooth val="0"/>
                <c:extLst xmlns:c15="http://schemas.microsoft.com/office/drawing/2012/chart">
                  <c:ext xmlns:c16="http://schemas.microsoft.com/office/drawing/2014/chart" uri="{C3380CC4-5D6E-409C-BE32-E72D297353CC}">
                    <c16:uniqueId val="{00000004-E617-434E-9BFA-A30974066B28}"/>
                  </c:ext>
                </c:extLst>
              </c15:ser>
            </c15:filteredLineSeries>
            <c15:filteredLineSeries>
              <c15:ser>
                <c:idx val="7"/>
                <c:order val="8"/>
                <c:tx>
                  <c:strRef>
                    <c:extLst xmlns:c15="http://schemas.microsoft.com/office/drawing/2012/chart">
                      <c:ext xmlns:c15="http://schemas.microsoft.com/office/drawing/2012/chart" uri="{02D57815-91ED-43cb-92C2-25804820EDAC}">
                        <c15:formulaRef>
                          <c15:sqref>Sales!$I$2</c15:sqref>
                        </c15:formulaRef>
                      </c:ext>
                    </c:extLst>
                    <c:strCache>
                      <c:ptCount val="1"/>
                      <c:pt idx="0">
                        <c:v>Total Sales</c:v>
                      </c:pt>
                    </c:strCache>
                  </c:strRef>
                </c:tx>
                <c:marker>
                  <c:symbol val="none"/>
                </c:marker>
                <c:cat>
                  <c:strRef>
                    <c:extLst>
                      <c:ext xmlns:c15="http://schemas.microsoft.com/office/drawing/2012/char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Sales!$I$3:$I$33</c15:sqref>
                        </c15:fullRef>
                        <c15:formulaRef>
                          <c15:sqref>Sales!$I$24:$I$33</c15:sqref>
                        </c15:formulaRef>
                      </c:ext>
                    </c:extLst>
                    <c:numCache>
                      <c:formatCode>#,##0</c:formatCode>
                      <c:ptCount val="10"/>
                      <c:pt idx="0">
                        <c:v>7632570</c:v>
                      </c:pt>
                      <c:pt idx="1">
                        <c:v>8222919</c:v>
                      </c:pt>
                      <c:pt idx="2">
                        <c:v>7835097</c:v>
                      </c:pt>
                      <c:pt idx="3">
                        <c:v>7829354</c:v>
                      </c:pt>
                      <c:pt idx="4">
                        <c:v>8540442</c:v>
                      </c:pt>
                      <c:pt idx="5">
                        <c:v>9150537</c:v>
                      </c:pt>
                      <c:pt idx="6">
                        <c:v>9490587</c:v>
                      </c:pt>
                      <c:pt idx="7">
                        <c:v>9553923</c:v>
                      </c:pt>
                      <c:pt idx="8">
                        <c:v>10717684</c:v>
                      </c:pt>
                      <c:pt idx="9">
                        <c:v>10130539</c:v>
                      </c:pt>
                    </c:numCache>
                  </c:numRef>
                </c:val>
                <c:smooth val="0"/>
                <c:extLst xmlns:c15="http://schemas.microsoft.com/office/drawing/2012/chart">
                  <c:ext xmlns:c16="http://schemas.microsoft.com/office/drawing/2014/chart" uri="{C3380CC4-5D6E-409C-BE32-E72D297353CC}">
                    <c16:uniqueId val="{00000005-E617-434E-9BFA-A30974066B28}"/>
                  </c:ext>
                </c:extLst>
              </c15:ser>
            </c15:filteredLineSeries>
            <c15:filteredLineSeries>
              <c15:ser>
                <c:idx val="8"/>
                <c:order val="9"/>
                <c:tx>
                  <c:strRef>
                    <c:extLst xmlns:c15="http://schemas.microsoft.com/office/drawing/2012/chart">
                      <c:ext xmlns:c15="http://schemas.microsoft.com/office/drawing/2012/chart" uri="{02D57815-91ED-43cb-92C2-25804820EDAC}">
                        <c15:formulaRef>
                          <c15:sqref>Sales!$J$2</c15:sqref>
                        </c15:formulaRef>
                      </c:ext>
                    </c:extLst>
                    <c:strCache>
                      <c:ptCount val="1"/>
                      <c:pt idx="0">
                        <c:v>Total Fresh Sales</c:v>
                      </c:pt>
                    </c:strCache>
                  </c:strRef>
                </c:tx>
                <c:marker>
                  <c:symbol val="none"/>
                </c:marker>
                <c:cat>
                  <c:strRef>
                    <c:extLst>
                      <c:ext xmlns:c15="http://schemas.microsoft.com/office/drawing/2012/char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Sales!$J$3:$J$33</c15:sqref>
                        </c15:fullRef>
                        <c15:formulaRef>
                          <c15:sqref>Sales!$J$24:$J$33</c15:sqref>
                        </c15:formulaRef>
                      </c:ext>
                    </c:extLst>
                    <c:numCache>
                      <c:formatCode>#,##0</c:formatCode>
                      <c:ptCount val="10"/>
                      <c:pt idx="0">
                        <c:v>291886</c:v>
                      </c:pt>
                      <c:pt idx="1">
                        <c:v>305279</c:v>
                      </c:pt>
                      <c:pt idx="2">
                        <c:v>317827</c:v>
                      </c:pt>
                      <c:pt idx="3">
                        <c:v>321639</c:v>
                      </c:pt>
                      <c:pt idx="4">
                        <c:v>323964</c:v>
                      </c:pt>
                      <c:pt idx="5">
                        <c:v>314719</c:v>
                      </c:pt>
                      <c:pt idx="6">
                        <c:v>318135</c:v>
                      </c:pt>
                      <c:pt idx="7">
                        <c:v>332518</c:v>
                      </c:pt>
                      <c:pt idx="8">
                        <c:v>329945</c:v>
                      </c:pt>
                      <c:pt idx="9">
                        <c:v>328621</c:v>
                      </c:pt>
                    </c:numCache>
                  </c:numRef>
                </c:val>
                <c:smooth val="0"/>
                <c:extLst xmlns:c15="http://schemas.microsoft.com/office/drawing/2012/chart">
                  <c:ext xmlns:c16="http://schemas.microsoft.com/office/drawing/2014/chart" uri="{C3380CC4-5D6E-409C-BE32-E72D297353CC}">
                    <c16:uniqueId val="{00000006-E617-434E-9BFA-A30974066B28}"/>
                  </c:ext>
                </c:extLst>
              </c15:ser>
            </c15:filteredLineSeries>
            <c15:filteredLineSeries>
              <c15:ser>
                <c:idx val="9"/>
                <c:order val="10"/>
                <c:tx>
                  <c:strRef>
                    <c:extLst xmlns:c15="http://schemas.microsoft.com/office/drawing/2012/chart">
                      <c:ext xmlns:c15="http://schemas.microsoft.com/office/drawing/2012/chart" uri="{02D57815-91ED-43cb-92C2-25804820EDAC}">
                        <c15:formulaRef>
                          <c15:sqref>Sales!$K$2</c15:sqref>
                        </c15:formulaRef>
                      </c:ext>
                    </c:extLst>
                    <c:strCache>
                      <c:ptCount val="1"/>
                      <c:pt idx="0">
                        <c:v>Total Processed Sales</c:v>
                      </c:pt>
                    </c:strCache>
                  </c:strRef>
                </c:tx>
                <c:marker>
                  <c:symbol val="none"/>
                </c:marker>
                <c:cat>
                  <c:strRef>
                    <c:extLst>
                      <c:ext xmlns:c15="http://schemas.microsoft.com/office/drawing/2012/chart" uri="{02D57815-91ED-43cb-92C2-25804820EDAC}">
                        <c15:fullRef>
                          <c15:sqref>Sales!$A$3:$A$33</c15:sqref>
                        </c15:fullRef>
                        <c15:formulaRef>
                          <c15:sqref>Sales!$A$24:$A$33</c15:sqref>
                        </c15:formulaRef>
                      </c:ext>
                    </c:extLst>
                    <c:strCache>
                      <c:ptCount val="10"/>
                      <c:pt idx="0">
                        <c:v>2009</c:v>
                      </c:pt>
                      <c:pt idx="1">
                        <c:v>2010</c:v>
                      </c:pt>
                      <c:pt idx="2">
                        <c:v>2011</c:v>
                      </c:pt>
                      <c:pt idx="3">
                        <c:v>2012</c:v>
                      </c:pt>
                      <c:pt idx="4">
                        <c:v>2013</c:v>
                      </c:pt>
                      <c:pt idx="5">
                        <c:v>2014</c:v>
                      </c:pt>
                      <c:pt idx="6">
                        <c:v>2015</c:v>
                      </c:pt>
                      <c:pt idx="7">
                        <c:v>2016</c:v>
                      </c:pt>
                      <c:pt idx="8">
                        <c:v>2017</c:v>
                      </c:pt>
                      <c:pt idx="9">
                        <c:v>2018 Est.</c:v>
                      </c:pt>
                    </c:strCache>
                  </c:strRef>
                </c:cat>
                <c:val>
                  <c:numRef>
                    <c:extLst>
                      <c:ext xmlns:c15="http://schemas.microsoft.com/office/drawing/2012/chart" uri="{02D57815-91ED-43cb-92C2-25804820EDAC}">
                        <c15:fullRef>
                          <c15:sqref>Sales!$K$3:$K$33</c15:sqref>
                        </c15:fullRef>
                        <c15:formulaRef>
                          <c15:sqref>Sales!$K$24:$K$33</c15:sqref>
                        </c15:formulaRef>
                      </c:ext>
                    </c:extLst>
                    <c:numCache>
                      <c:formatCode>#,##0</c:formatCode>
                      <c:ptCount val="10"/>
                      <c:pt idx="0">
                        <c:v>6439537</c:v>
                      </c:pt>
                      <c:pt idx="1">
                        <c:v>6217879</c:v>
                      </c:pt>
                      <c:pt idx="2">
                        <c:v>6224636</c:v>
                      </c:pt>
                      <c:pt idx="3">
                        <c:v>5949482</c:v>
                      </c:pt>
                      <c:pt idx="4">
                        <c:v>6654105</c:v>
                      </c:pt>
                      <c:pt idx="5">
                        <c:v>6908411</c:v>
                      </c:pt>
                      <c:pt idx="6">
                        <c:v>7339793</c:v>
                      </c:pt>
                      <c:pt idx="7">
                        <c:v>7256088</c:v>
                      </c:pt>
                      <c:pt idx="8">
                        <c:v>8144485</c:v>
                      </c:pt>
                      <c:pt idx="9">
                        <c:v>7940465</c:v>
                      </c:pt>
                    </c:numCache>
                  </c:numRef>
                </c:val>
                <c:smooth val="0"/>
                <c:extLst xmlns:c15="http://schemas.microsoft.com/office/drawing/2012/chart">
                  <c:ext xmlns:c16="http://schemas.microsoft.com/office/drawing/2014/chart" uri="{C3380CC4-5D6E-409C-BE32-E72D297353CC}">
                    <c16:uniqueId val="{00000007-E617-434E-9BFA-A30974066B28}"/>
                  </c:ext>
                </c:extLst>
              </c15:ser>
            </c15:filteredLineSeries>
          </c:ext>
        </c:extLst>
      </c:lineChart>
      <c:catAx>
        <c:axId val="475006056"/>
        <c:scaling>
          <c:orientation val="minMax"/>
        </c:scaling>
        <c:delete val="0"/>
        <c:axPos val="b"/>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1352"/>
        <c:crosses val="autoZero"/>
        <c:auto val="1"/>
        <c:lblAlgn val="ctr"/>
        <c:lblOffset val="100"/>
        <c:tickLblSkip val="4"/>
        <c:noMultiLvlLbl val="0"/>
      </c:catAx>
      <c:valAx>
        <c:axId val="475001352"/>
        <c:scaling>
          <c:orientation val="minMax"/>
          <c:max val="2200000"/>
          <c:min val="500000"/>
        </c:scaling>
        <c:delete val="0"/>
        <c:axPos val="l"/>
        <c:majorGridlines/>
        <c:title>
          <c:tx>
            <c:rich>
              <a:bodyPr/>
              <a:lstStyle/>
              <a:p>
                <a:pPr>
                  <a:defRPr sz="1600" b="1" i="0" u="none" strike="noStrike" baseline="0">
                    <a:solidFill>
                      <a:srgbClr val="000000"/>
                    </a:solidFill>
                    <a:latin typeface="Calibri"/>
                    <a:ea typeface="Calibri"/>
                    <a:cs typeface="Calibri"/>
                  </a:defRPr>
                </a:pPr>
                <a:r>
                  <a:rPr lang="en-US"/>
                  <a:t>Thousands of Barrels</a:t>
                </a:r>
              </a:p>
            </c:rich>
          </c:tx>
          <c:overlay val="0"/>
        </c:title>
        <c:numFmt formatCode="#,##0"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6056"/>
        <c:crosses val="autoZero"/>
        <c:crossBetween val="between"/>
        <c:dispUnits>
          <c:builtInUnit val="thousands"/>
        </c:dispUnits>
      </c:valAx>
    </c:plotArea>
    <c:legend>
      <c:legendPos val="b"/>
      <c:layout>
        <c:manualLayout>
          <c:xMode val="edge"/>
          <c:yMode val="edge"/>
          <c:x val="0.1133621758818609"/>
          <c:y val="0.92974603415530854"/>
          <c:w val="0.87583975080038068"/>
          <c:h val="6.2188433073383967E-2"/>
        </c:manualLayout>
      </c:layout>
      <c:overlay val="0"/>
      <c:txPr>
        <a:bodyPr/>
        <a:lstStyle/>
        <a:p>
          <a:pPr>
            <a:defRPr sz="1400" b="1"/>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Total Available Supply versus Total Sales </a:t>
            </a:r>
          </a:p>
        </c:rich>
      </c:tx>
      <c:overlay val="0"/>
    </c:title>
    <c:autoTitleDeleted val="0"/>
    <c:plotArea>
      <c:layout/>
      <c:lineChart>
        <c:grouping val="standard"/>
        <c:varyColors val="0"/>
        <c:ser>
          <c:idx val="1"/>
          <c:order val="0"/>
          <c:tx>
            <c:strRef>
              <c:f>'Total Available Supply and Sale'!$H$2</c:f>
              <c:strCache>
                <c:ptCount val="1"/>
                <c:pt idx="0">
                  <c:v>Total Available Supply</c:v>
                </c:pt>
              </c:strCache>
            </c:strRef>
          </c:tx>
          <c:spPr>
            <a:ln w="50800"/>
          </c:spPr>
          <c:marker>
            <c:symbol val="none"/>
          </c:marker>
          <c:cat>
            <c:strRef>
              <c:f>'Total Available Supply and Sale'!$A$3:$A$33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'Total Available Supply and Sale'!$H$3:$H$33</c:f>
              <c:numCache>
                <c:formatCode>_(* #,##0_);_(* \(#,##0\);_(* "-"??_);_(@_)</c:formatCode>
                <c:ptCount val="31"/>
                <c:pt idx="0">
                  <c:v>5240717</c:v>
                </c:pt>
                <c:pt idx="1">
                  <c:v>4972496</c:v>
                </c:pt>
                <c:pt idx="2">
                  <c:v>5000181</c:v>
                </c:pt>
                <c:pt idx="3">
                  <c:v>5860830</c:v>
                </c:pt>
                <c:pt idx="4">
                  <c:v>5718070</c:v>
                </c:pt>
                <c:pt idx="5">
                  <c:v>5711343</c:v>
                </c:pt>
                <c:pt idx="6">
                  <c:v>6454382</c:v>
                </c:pt>
                <c:pt idx="7">
                  <c:v>6014151</c:v>
                </c:pt>
                <c:pt idx="8">
                  <c:v>6163610</c:v>
                </c:pt>
                <c:pt idx="9">
                  <c:v>7209230</c:v>
                </c:pt>
                <c:pt idx="10">
                  <c:v>8268343</c:v>
                </c:pt>
                <c:pt idx="11">
                  <c:v>10074309</c:v>
                </c:pt>
                <c:pt idx="12">
                  <c:v>10386765</c:v>
                </c:pt>
                <c:pt idx="13">
                  <c:v>9222373</c:v>
                </c:pt>
                <c:pt idx="14">
                  <c:v>9121007</c:v>
                </c:pt>
                <c:pt idx="15">
                  <c:v>9793343</c:v>
                </c:pt>
                <c:pt idx="16">
                  <c:v>10474033</c:v>
                </c:pt>
                <c:pt idx="17">
                  <c:v>10569158</c:v>
                </c:pt>
                <c:pt idx="18">
                  <c:v>10925763</c:v>
                </c:pt>
                <c:pt idx="19">
                  <c:v>10720356</c:v>
                </c:pt>
                <c:pt idx="20">
                  <c:v>11817149</c:v>
                </c:pt>
                <c:pt idx="21">
                  <c:v>12507178</c:v>
                </c:pt>
                <c:pt idx="22">
                  <c:v>12358652</c:v>
                </c:pt>
                <c:pt idx="23">
                  <c:v>12916437</c:v>
                </c:pt>
                <c:pt idx="24">
                  <c:v>14051092</c:v>
                </c:pt>
                <c:pt idx="25">
                  <c:v>16206491</c:v>
                </c:pt>
                <c:pt idx="26">
                  <c:v>17385423</c:v>
                </c:pt>
                <c:pt idx="27">
                  <c:v>17804273</c:v>
                </c:pt>
                <c:pt idx="28">
                  <c:v>19669007</c:v>
                </c:pt>
                <c:pt idx="29">
                  <c:v>19163399</c:v>
                </c:pt>
                <c:pt idx="30">
                  <c:v>17555891</c:v>
                </c:pt>
              </c:numCache>
            </c:numRef>
          </c:val>
          <c:smooth val="0"/>
          <c:extLst>
            <c:ext xmlns:c16="http://schemas.microsoft.com/office/drawing/2014/chart" uri="{C3380CC4-5D6E-409C-BE32-E72D297353CC}">
              <c16:uniqueId val="{00000000-4F9F-4BB7-A3EF-E240B2018DEE}"/>
            </c:ext>
          </c:extLst>
        </c:ser>
        <c:ser>
          <c:idx val="2"/>
          <c:order val="1"/>
          <c:tx>
            <c:strRef>
              <c:f>'Total Available Supply and Sale'!$F$2</c:f>
              <c:strCache>
                <c:ptCount val="1"/>
                <c:pt idx="0">
                  <c:v>Total Sales </c:v>
                </c:pt>
              </c:strCache>
            </c:strRef>
          </c:tx>
          <c:spPr>
            <a:ln w="50800">
              <a:prstDash val="sysDot"/>
            </a:ln>
          </c:spPr>
          <c:marker>
            <c:symbol val="none"/>
          </c:marker>
          <c:cat>
            <c:strRef>
              <c:f>'Total Available Supply and Sale'!$A$3:$A$33</c:f>
              <c:strCache>
                <c:ptCount val="31"/>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 Est.</c:v>
                </c:pt>
              </c:strCache>
            </c:strRef>
          </c:cat>
          <c:val>
            <c:numRef>
              <c:f>'Total Available Supply and Sale'!$F$3:$F$33</c:f>
              <c:numCache>
                <c:formatCode>_(* #,##0_);_(* \(#,##0\);_(* "-"??_);_(@_)</c:formatCode>
                <c:ptCount val="31"/>
                <c:pt idx="0">
                  <c:v>4131054</c:v>
                </c:pt>
                <c:pt idx="1">
                  <c:v>3860075</c:v>
                </c:pt>
                <c:pt idx="2">
                  <c:v>4031330</c:v>
                </c:pt>
                <c:pt idx="3">
                  <c:v>4549625</c:v>
                </c:pt>
                <c:pt idx="4">
                  <c:v>4170298</c:v>
                </c:pt>
                <c:pt idx="5">
                  <c:v>4370977</c:v>
                </c:pt>
                <c:pt idx="6">
                  <c:v>5053585</c:v>
                </c:pt>
                <c:pt idx="7">
                  <c:v>4775426</c:v>
                </c:pt>
                <c:pt idx="8">
                  <c:v>4771237</c:v>
                </c:pt>
                <c:pt idx="9">
                  <c:v>5120594</c:v>
                </c:pt>
                <c:pt idx="10">
                  <c:v>5161732</c:v>
                </c:pt>
                <c:pt idx="11">
                  <c:v>5510370</c:v>
                </c:pt>
                <c:pt idx="12">
                  <c:v>6358615</c:v>
                </c:pt>
                <c:pt idx="13">
                  <c:v>6653166</c:v>
                </c:pt>
                <c:pt idx="14">
                  <c:v>6376349</c:v>
                </c:pt>
                <c:pt idx="15">
                  <c:v>6678668</c:v>
                </c:pt>
                <c:pt idx="16">
                  <c:v>7005814</c:v>
                </c:pt>
                <c:pt idx="17">
                  <c:v>7113405</c:v>
                </c:pt>
                <c:pt idx="18">
                  <c:v>7729272</c:v>
                </c:pt>
                <c:pt idx="19">
                  <c:v>7741635</c:v>
                </c:pt>
                <c:pt idx="20">
                  <c:v>7418989</c:v>
                </c:pt>
                <c:pt idx="21">
                  <c:v>7631697</c:v>
                </c:pt>
                <c:pt idx="22">
                  <c:v>8222919</c:v>
                </c:pt>
                <c:pt idx="23">
                  <c:v>7835097</c:v>
                </c:pt>
                <c:pt idx="24">
                  <c:v>7829354</c:v>
                </c:pt>
                <c:pt idx="25">
                  <c:v>8540442</c:v>
                </c:pt>
                <c:pt idx="26">
                  <c:v>9150537</c:v>
                </c:pt>
                <c:pt idx="27">
                  <c:v>9490587</c:v>
                </c:pt>
                <c:pt idx="28">
                  <c:v>9553923</c:v>
                </c:pt>
                <c:pt idx="29">
                  <c:v>10717684</c:v>
                </c:pt>
                <c:pt idx="30">
                  <c:v>10130539</c:v>
                </c:pt>
              </c:numCache>
            </c:numRef>
          </c:val>
          <c:smooth val="0"/>
          <c:extLst>
            <c:ext xmlns:c16="http://schemas.microsoft.com/office/drawing/2014/chart" uri="{C3380CC4-5D6E-409C-BE32-E72D297353CC}">
              <c16:uniqueId val="{00000001-4F9F-4BB7-A3EF-E240B2018DEE}"/>
            </c:ext>
          </c:extLst>
        </c:ser>
        <c:dLbls>
          <c:showLegendKey val="0"/>
          <c:showVal val="0"/>
          <c:showCatName val="0"/>
          <c:showSerName val="0"/>
          <c:showPercent val="0"/>
          <c:showBubbleSize val="0"/>
        </c:dLbls>
        <c:smooth val="0"/>
        <c:axId val="475004096"/>
        <c:axId val="475004880"/>
      </c:lineChart>
      <c:catAx>
        <c:axId val="475004096"/>
        <c:scaling>
          <c:orientation val="minMax"/>
        </c:scaling>
        <c:delete val="0"/>
        <c:axPos val="b"/>
        <c:numFmt formatCode="General" sourceLinked="1"/>
        <c:majorTickMark val="out"/>
        <c:minorTickMark val="none"/>
        <c:tickLblPos val="nextTo"/>
        <c:txPr>
          <a:bodyPr rot="0" vert="horz"/>
          <a:lstStyle/>
          <a:p>
            <a:pPr>
              <a:defRPr sz="1400" b="1" i="0" u="none" strike="noStrike" baseline="0">
                <a:solidFill>
                  <a:srgbClr val="000000"/>
                </a:solidFill>
                <a:latin typeface="Calibri"/>
                <a:ea typeface="Calibri"/>
                <a:cs typeface="Calibri"/>
              </a:defRPr>
            </a:pPr>
            <a:endParaRPr lang="en-US"/>
          </a:p>
        </c:txPr>
        <c:crossAx val="475004880"/>
        <c:crosses val="autoZero"/>
        <c:auto val="1"/>
        <c:lblAlgn val="ctr"/>
        <c:lblOffset val="100"/>
        <c:tickLblSkip val="4"/>
        <c:noMultiLvlLbl val="0"/>
      </c:catAx>
      <c:valAx>
        <c:axId val="475004880"/>
        <c:scaling>
          <c:orientation val="minMax"/>
        </c:scaling>
        <c:delete val="0"/>
        <c:axPos val="l"/>
        <c:majorGridlines/>
        <c:title>
          <c:tx>
            <c:rich>
              <a:bodyPr/>
              <a:lstStyle/>
              <a:p>
                <a:pPr>
                  <a:defRPr sz="1600" b="1" i="0" u="none" strike="noStrike" baseline="0">
                    <a:solidFill>
                      <a:srgbClr val="000000"/>
                    </a:solidFill>
                    <a:latin typeface="Calibri"/>
                    <a:ea typeface="Calibri"/>
                    <a:cs typeface="Calibri"/>
                  </a:defRPr>
                </a:pPr>
                <a:r>
                  <a:rPr lang="en-US"/>
                  <a:t>Millions  of Barrels</a:t>
                </a:r>
              </a:p>
            </c:rich>
          </c:tx>
          <c:overlay val="0"/>
        </c:title>
        <c:numFmt formatCode="_(* #,##0_);_(* \(#,##0\);_(* &quot;-&quot;??_);_(@_)"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4096"/>
        <c:crosses val="autoZero"/>
        <c:crossBetween val="between"/>
        <c:dispUnits>
          <c:builtInUnit val="millions"/>
        </c:dispUnits>
      </c:valAx>
    </c:plotArea>
    <c:legend>
      <c:legendPos val="b"/>
      <c:layout>
        <c:manualLayout>
          <c:xMode val="edge"/>
          <c:yMode val="edge"/>
          <c:x val="0.2453911742880325"/>
          <c:y val="0.95140905114133467"/>
          <c:w val="0.57222132711959095"/>
          <c:h val="3.6485007555873909E-2"/>
        </c:manualLayout>
      </c:layout>
      <c:overlay val="0"/>
      <c:txPr>
        <a:bodyPr/>
        <a:lstStyle/>
        <a:p>
          <a:pPr>
            <a:defRPr sz="1350" b="1"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400" b="1" i="0" u="none" strike="noStrike" baseline="0">
                <a:solidFill>
                  <a:srgbClr val="000000"/>
                </a:solidFill>
                <a:latin typeface="Calibri"/>
                <a:ea typeface="Calibri"/>
                <a:cs typeface="Calibri"/>
              </a:defRPr>
            </a:pPr>
            <a:r>
              <a:rPr lang="en-US"/>
              <a:t>Carry-In Inventories</a:t>
            </a:r>
          </a:p>
        </c:rich>
      </c:tx>
      <c:layout>
        <c:manualLayout>
          <c:xMode val="edge"/>
          <c:yMode val="edge"/>
          <c:x val="0.36710980358224471"/>
          <c:y val="2.0171457387796271E-2"/>
        </c:manualLayout>
      </c:layout>
      <c:overlay val="0"/>
    </c:title>
    <c:autoTitleDeleted val="0"/>
    <c:view3D>
      <c:rotX val="15"/>
      <c:rotY val="20"/>
      <c:depthPercent val="100"/>
      <c:rAngAx val="1"/>
    </c:view3D>
    <c:floor>
      <c:thickness val="0"/>
    </c:floor>
    <c:sideWall>
      <c:thickness val="0"/>
    </c:sideWall>
    <c:backWall>
      <c:thickness val="0"/>
    </c:backWall>
    <c:plotArea>
      <c:layout/>
      <c:bar3DChart>
        <c:barDir val="bar"/>
        <c:grouping val="clustered"/>
        <c:varyColors val="0"/>
        <c:ser>
          <c:idx val="0"/>
          <c:order val="0"/>
          <c:invertIfNegative val="0"/>
          <c:dLbls>
            <c:dLbl>
              <c:idx val="1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7D8-47F9-8119-2CB2C6745F73}"/>
                </c:ext>
              </c:extLst>
            </c:dLbl>
            <c:dLbl>
              <c:idx val="25"/>
              <c:layout>
                <c:manualLayout>
                  <c:x val="1.7621145374449341E-2"/>
                  <c:y val="1.8574591233585479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D8-47F9-8119-2CB2C6745F73}"/>
                </c:ext>
              </c:extLst>
            </c:dLbl>
            <c:dLbl>
              <c:idx val="2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D8-47F9-8119-2CB2C6745F73}"/>
                </c:ext>
              </c:extLst>
            </c:dLbl>
            <c:dLbl>
              <c:idx val="27"/>
              <c:layout>
                <c:manualLayout>
                  <c:x val="2.4892273081249472E-2"/>
                  <c:y val="-1.0117494768524585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D8-47F9-8119-2CB2C6745F73}"/>
                </c:ext>
              </c:extLst>
            </c:dLbl>
            <c:dLbl>
              <c:idx val="28"/>
              <c:layout>
                <c:manualLayout>
                  <c:x val="7.326007326007217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7D8-47F9-8119-2CB2C6745F73}"/>
                </c:ext>
              </c:extLst>
            </c:dLbl>
            <c:dLbl>
              <c:idx val="29"/>
              <c:layout>
                <c:manualLayout>
                  <c:x val="2.9304029304029304E-3"/>
                  <c:y val="-8.06858295511852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D8-47F9-8119-2CB2C6745F73}"/>
                </c:ext>
              </c:extLst>
            </c:dLbl>
            <c:dLbl>
              <c:idx val="30"/>
              <c:layout>
                <c:manualLayout>
                  <c:x val="-1.0744686621274025E-16"/>
                  <c:y val="-6.05143721633889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CE-40FC-8A6C-9B4F4B8099D8}"/>
                </c:ext>
              </c:extLst>
            </c:dLbl>
            <c:dLbl>
              <c:idx val="31"/>
              <c:layout>
                <c:manualLayout>
                  <c:x val="4.3956043956043959E-2"/>
                  <c:y val="-8.0685829551185081E-3"/>
                </c:manualLayout>
              </c:layout>
              <c:numFmt formatCode="#,##0.0" sourceLinked="0"/>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0-4A13-45EE-A8DF-A104F4B3002F}"/>
                </c:ext>
              </c:extLst>
            </c:dLbl>
            <c:numFmt formatCode="#,##0.0" sourceLinked="0"/>
            <c:spPr>
              <a:noFill/>
              <a:ln>
                <a:noFill/>
              </a:ln>
              <a:effectLst/>
            </c:spPr>
            <c:txPr>
              <a:bodyPr wrap="square" lIns="38100" tIns="19050" rIns="38100" bIns="19050" anchor="ctr">
                <a:spAutoFit/>
              </a:bodyPr>
              <a:lstStyle/>
              <a:p>
                <a:pPr>
                  <a:defRPr sz="1200"/>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'Total Available Supply and Sale'!$A$81:$A$112</c:f>
              <c:strCache>
                <c:ptCount val="32"/>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pt idx="15">
                  <c:v>2003</c:v>
                </c:pt>
                <c:pt idx="16">
                  <c:v>2004</c:v>
                </c:pt>
                <c:pt idx="17">
                  <c:v>2005</c:v>
                </c:pt>
                <c:pt idx="18">
                  <c:v>2006</c:v>
                </c:pt>
                <c:pt idx="19">
                  <c:v>2007</c:v>
                </c:pt>
                <c:pt idx="20">
                  <c:v>2008</c:v>
                </c:pt>
                <c:pt idx="21">
                  <c:v>2009</c:v>
                </c:pt>
                <c:pt idx="22">
                  <c:v>2010</c:v>
                </c:pt>
                <c:pt idx="23">
                  <c:v>2011</c:v>
                </c:pt>
                <c:pt idx="24">
                  <c:v>2012</c:v>
                </c:pt>
                <c:pt idx="25">
                  <c:v>2013</c:v>
                </c:pt>
                <c:pt idx="26">
                  <c:v>2014</c:v>
                </c:pt>
                <c:pt idx="27">
                  <c:v>2015</c:v>
                </c:pt>
                <c:pt idx="28">
                  <c:v>2016</c:v>
                </c:pt>
                <c:pt idx="29">
                  <c:v>2017</c:v>
                </c:pt>
                <c:pt idx="30">
                  <c:v>2018</c:v>
                </c:pt>
                <c:pt idx="31">
                  <c:v>2019 Est. </c:v>
                </c:pt>
              </c:strCache>
            </c:strRef>
          </c:cat>
          <c:val>
            <c:numRef>
              <c:f>'Total Available Supply and Sale'!$B$81:$B$112</c:f>
              <c:numCache>
                <c:formatCode>General</c:formatCode>
                <c:ptCount val="32"/>
                <c:pt idx="0">
                  <c:v>883773</c:v>
                </c:pt>
                <c:pt idx="1">
                  <c:v>985452</c:v>
                </c:pt>
                <c:pt idx="2">
                  <c:v>1216958</c:v>
                </c:pt>
                <c:pt idx="3">
                  <c:v>1261045</c:v>
                </c:pt>
                <c:pt idx="4">
                  <c:v>1151398</c:v>
                </c:pt>
                <c:pt idx="5">
                  <c:v>1428245</c:v>
                </c:pt>
                <c:pt idx="6">
                  <c:v>1213923</c:v>
                </c:pt>
                <c:pt idx="7">
                  <c:v>1256548</c:v>
                </c:pt>
                <c:pt idx="8">
                  <c:v>983858</c:v>
                </c:pt>
                <c:pt idx="9">
                  <c:v>1251968</c:v>
                </c:pt>
                <c:pt idx="10">
                  <c:v>2195873</c:v>
                </c:pt>
                <c:pt idx="11">
                  <c:v>3058921</c:v>
                </c:pt>
                <c:pt idx="12">
                  <c:v>4177384</c:v>
                </c:pt>
                <c:pt idx="13">
                  <c:v>3731865</c:v>
                </c:pt>
                <c:pt idx="14">
                  <c:v>2500915</c:v>
                </c:pt>
                <c:pt idx="15">
                  <c:v>2505654</c:v>
                </c:pt>
                <c:pt idx="16">
                  <c:v>3257031</c:v>
                </c:pt>
                <c:pt idx="17">
                  <c:v>3271326</c:v>
                </c:pt>
                <c:pt idx="18">
                  <c:v>3036560</c:v>
                </c:pt>
                <c:pt idx="19">
                  <c:v>3169908</c:v>
                </c:pt>
                <c:pt idx="20" formatCode="_(* #,##0_);_(* \(#,##0\);_(* &quot;-&quot;??_);_(@_)">
                  <c:v>3020302</c:v>
                </c:pt>
                <c:pt idx="21" formatCode="_(* #,##0_);_(* \(#,##0\);_(* &quot;-&quot;??_);_(@_)">
                  <c:v>4445751</c:v>
                </c:pt>
                <c:pt idx="22" formatCode="_(* #,##0_);_(* \(#,##0\);_(* &quot;-&quot;??_);_(@_)">
                  <c:v>4662313</c:v>
                </c:pt>
                <c:pt idx="23" formatCode="_(* #,##0_);_(* \(#,##0\);_(* &quot;-&quot;??_);_(@_)">
                  <c:v>4130116</c:v>
                </c:pt>
                <c:pt idx="24" formatCode="_(* #,##0_);_(* \(#,##0\);_(* &quot;-&quot;??_);_(@_)">
                  <c:v>4616296</c:v>
                </c:pt>
                <c:pt idx="25" formatCode="_(* #,##0_);_(* \(#,##0\);_(* &quot;-&quot;??_);_(@_)">
                  <c:v>5840394</c:v>
                </c:pt>
                <c:pt idx="26" formatCode="_(* #,##0_);_(* \(#,##0\);_(* &quot;-&quot;??_);_(@_)">
                  <c:v>7479154</c:v>
                </c:pt>
                <c:pt idx="27" formatCode="_(* #,##0_);_(* \(#,##0\);_(* &quot;-&quot;??_);_(@_)">
                  <c:v>7922665</c:v>
                </c:pt>
                <c:pt idx="28" formatCode="_(* #,##0_);_(* \(#,##0\);_(* &quot;-&quot;??_);_(@_)">
                  <c:v>8291068</c:v>
                </c:pt>
                <c:pt idx="29" formatCode="_(* #,##0_);_(* \(#,##0\);_(* &quot;-&quot;??_);_(@_)">
                  <c:v>9624081</c:v>
                </c:pt>
                <c:pt idx="30" formatCode="_(* #,##0_);_(* \(#,##0\);_(* &quot;-&quot;??_);_(@_)">
                  <c:v>6884924</c:v>
                </c:pt>
                <c:pt idx="31" formatCode="_(* #,##0_);_(* \(#,##0\);_(* &quot;-&quot;??_);_(@_)">
                  <c:v>5888177</c:v>
                </c:pt>
              </c:numCache>
            </c:numRef>
          </c:val>
          <c:shape val="box"/>
          <c:extLst>
            <c:ext xmlns:c16="http://schemas.microsoft.com/office/drawing/2014/chart" uri="{C3380CC4-5D6E-409C-BE32-E72D297353CC}">
              <c16:uniqueId val="{00000006-A7D8-47F9-8119-2CB2C6745F73}"/>
            </c:ext>
          </c:extLst>
        </c:ser>
        <c:dLbls>
          <c:showLegendKey val="0"/>
          <c:showVal val="0"/>
          <c:showCatName val="0"/>
          <c:showSerName val="0"/>
          <c:showPercent val="0"/>
          <c:showBubbleSize val="0"/>
        </c:dLbls>
        <c:gapWidth val="150"/>
        <c:gapDepth val="102"/>
        <c:shape val="cylinder"/>
        <c:axId val="475005272"/>
        <c:axId val="476047096"/>
        <c:axId val="0"/>
      </c:bar3DChart>
      <c:catAx>
        <c:axId val="475005272"/>
        <c:scaling>
          <c:orientation val="minMax"/>
        </c:scaling>
        <c:delete val="0"/>
        <c:axPos val="l"/>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6047096"/>
        <c:crosses val="autoZero"/>
        <c:auto val="1"/>
        <c:lblAlgn val="ctr"/>
        <c:lblOffset val="100"/>
        <c:tickLblSkip val="1"/>
        <c:noMultiLvlLbl val="0"/>
      </c:catAx>
      <c:valAx>
        <c:axId val="476047096"/>
        <c:scaling>
          <c:orientation val="minMax"/>
        </c:scaling>
        <c:delete val="0"/>
        <c:axPos val="b"/>
        <c:majorGridlines/>
        <c:title>
          <c:tx>
            <c:rich>
              <a:bodyPr/>
              <a:lstStyle/>
              <a:p>
                <a:pPr>
                  <a:defRPr sz="1600" b="1" i="0" u="none" strike="noStrike" baseline="0">
                    <a:solidFill>
                      <a:srgbClr val="000000"/>
                    </a:solidFill>
                    <a:latin typeface="Calibri"/>
                    <a:ea typeface="Calibri"/>
                    <a:cs typeface="Calibri"/>
                  </a:defRPr>
                </a:pPr>
                <a:r>
                  <a:rPr lang="en-US"/>
                  <a:t>Millions of Barrels</a:t>
                </a:r>
              </a:p>
            </c:rich>
          </c:tx>
          <c:overlay val="0"/>
        </c:title>
        <c:numFmt formatCode="General" sourceLinked="1"/>
        <c:majorTickMark val="out"/>
        <c:minorTickMark val="none"/>
        <c:tickLblPos val="nextTo"/>
        <c:txPr>
          <a:bodyPr rot="0" vert="horz"/>
          <a:lstStyle/>
          <a:p>
            <a:pPr>
              <a:defRPr sz="1600" b="1" i="0" u="none" strike="noStrike" baseline="0">
                <a:solidFill>
                  <a:srgbClr val="000000"/>
                </a:solidFill>
                <a:latin typeface="Calibri"/>
                <a:ea typeface="Calibri"/>
                <a:cs typeface="Calibri"/>
              </a:defRPr>
            </a:pPr>
            <a:endParaRPr lang="en-US"/>
          </a:p>
        </c:txPr>
        <c:crossAx val="475005272"/>
        <c:crossesAt val="1"/>
        <c:crossBetween val="between"/>
        <c:dispUnits>
          <c:builtInUnit val="millions"/>
        </c:dispUnits>
      </c:valAx>
      <c:spPr>
        <a:noFill/>
        <a:ln w="25400">
          <a:noFill/>
        </a:ln>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3"/>
  <sheetViews>
    <sheetView zoomScale="86" workbookViewId="0" zoomToFit="1"/>
  </sheetViews>
  <pageMargins left="0.7" right="0.7" top="0.75" bottom="0.75" header="0.3" footer="0.3"/>
  <pageSetup orientation="landscape" r:id="rId1"/>
  <drawing r:id="rId2"/>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1000-000000000000}">
  <sheetPr codeName="Chart13"/>
  <sheetViews>
    <sheetView zoomScale="130"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5"/>
  <sheetViews>
    <sheetView zoomScale="86"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15"/>
  <sheetViews>
    <sheetView zoomScale="90" workbookViewId="0"/>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Chart9"/>
  <sheetViews>
    <sheetView zoomScale="80" workbookViewId="0"/>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codeName="Chart7"/>
  <sheetViews>
    <sheetView zoomScale="80" workbookViewId="0"/>
  </sheetViews>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codeName="Chart8"/>
  <sheetViews>
    <sheetView zoomScale="80" workbookViewId="0"/>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sheetViews>
    <sheetView zoomScale="80" workbookViewId="0"/>
  </sheetViews>
  <pageMargins left="0.7" right="0.7" top="0.75" bottom="0.75"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E00-000000000000}">
  <sheetPr codeName="Chart11"/>
  <sheetViews>
    <sheetView zoomScale="70" workbookViewId="0"/>
  </sheetViews>
  <pageMargins left="0.7" right="0.7" top="0.75" bottom="0.75" header="0.3" footer="0.3"/>
  <pageSetup orientation="landscape" r:id="rId1"/>
  <drawing r:id="rId2"/>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F00-000000000000}">
  <sheetPr codeName="Chart12">
    <tabColor rgb="FFFF0000"/>
  </sheetPr>
  <sheetViews>
    <sheetView zoomScale="140"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absoluteAnchor>
    <xdr:pos x="0" y="0"/>
    <xdr:ext cx="8672180" cy="6302006"/>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B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67750" cy="6296025"/>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twoCellAnchor>
    <xdr:from>
      <xdr:col>1</xdr:col>
      <xdr:colOff>2782661</xdr:colOff>
      <xdr:row>2</xdr:row>
      <xdr:rowOff>122464</xdr:rowOff>
    </xdr:from>
    <xdr:to>
      <xdr:col>1</xdr:col>
      <xdr:colOff>3170465</xdr:colOff>
      <xdr:row>7</xdr:row>
      <xdr:rowOff>319768</xdr:rowOff>
    </xdr:to>
    <xdr:sp macro="" textlink="">
      <xdr:nvSpPr>
        <xdr:cNvPr id="2" name="Curved Right Arrow 1">
          <a:extLst>
            <a:ext uri="{FF2B5EF4-FFF2-40B4-BE49-F238E27FC236}">
              <a16:creationId xmlns:a16="http://schemas.microsoft.com/office/drawing/2014/main" id="{00000000-0008-0000-1300-000002000000}"/>
            </a:ext>
          </a:extLst>
        </xdr:cNvPr>
        <xdr:cNvSpPr/>
      </xdr:nvSpPr>
      <xdr:spPr>
        <a:xfrm>
          <a:off x="3306536" y="522514"/>
          <a:ext cx="387804" cy="1768929"/>
        </a:xfrm>
        <a:prstGeom prst="curved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absoluteAnchor>
    <xdr:pos x="0" y="0"/>
    <xdr:ext cx="8672180" cy="630200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7167" cy="6286500"/>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0.82425</cdr:x>
      <cdr:y>0.96247</cdr:y>
    </cdr:from>
    <cdr:to>
      <cdr:x>1</cdr:x>
      <cdr:y>1</cdr:y>
    </cdr:to>
    <cdr:sp macro="" textlink="">
      <cdr:nvSpPr>
        <cdr:cNvPr id="2" name="TextBox 1"/>
        <cdr:cNvSpPr txBox="1"/>
      </cdr:nvSpPr>
      <cdr:spPr>
        <a:xfrm xmlns:a="http://schemas.openxmlformats.org/drawingml/2006/main">
          <a:off x="7147560" y="6057900"/>
          <a:ext cx="1524000" cy="23622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050"/>
            <a:t>* Includes NB, NS, PEI, NL</a:t>
          </a: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98EEA055-D904-4E6C-86F4-532B98312F6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54143" cy="6272893"/>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369"/>
  <sheetViews>
    <sheetView topLeftCell="A304" zoomScale="180" zoomScaleNormal="180" workbookViewId="0">
      <pane xSplit="1" topLeftCell="K1" activePane="topRight" state="frozen"/>
      <selection pane="topRight" activeCell="O8" sqref="O8"/>
    </sheetView>
  </sheetViews>
  <sheetFormatPr defaultColWidth="8.85546875" defaultRowHeight="12.75" x14ac:dyDescent="0.2"/>
  <cols>
    <col min="1" max="1" width="36.140625" style="25" bestFit="1" customWidth="1"/>
    <col min="2" max="3" width="15.140625" style="25" bestFit="1" customWidth="1"/>
    <col min="4" max="4" width="15.42578125" style="25" bestFit="1" customWidth="1"/>
    <col min="5" max="5" width="14.85546875" style="403" bestFit="1" customWidth="1"/>
    <col min="6" max="6" width="14" style="403" bestFit="1" customWidth="1"/>
    <col min="7" max="9" width="14.42578125" style="403" bestFit="1" customWidth="1"/>
    <col min="10" max="10" width="15.85546875" style="403" bestFit="1" customWidth="1"/>
    <col min="11" max="12" width="16.5703125" style="425" bestFit="1" customWidth="1"/>
    <col min="13" max="13" width="15.5703125" style="403" bestFit="1" customWidth="1"/>
    <col min="14" max="14" width="15.42578125" style="403" bestFit="1" customWidth="1"/>
    <col min="15" max="15" width="12.28515625" style="25" bestFit="1" customWidth="1"/>
    <col min="16" max="16" width="18.28515625" style="25" bestFit="1" customWidth="1"/>
    <col min="17" max="16384" width="8.85546875" style="25"/>
  </cols>
  <sheetData>
    <row r="1" spans="1:14" s="431" customFormat="1" ht="6" customHeight="1" x14ac:dyDescent="0.2">
      <c r="A1" s="137"/>
      <c r="B1" s="145"/>
      <c r="C1" s="145"/>
      <c r="D1" s="145"/>
      <c r="E1" s="401"/>
      <c r="F1" s="401"/>
      <c r="G1" s="401"/>
      <c r="H1" s="316"/>
      <c r="I1" s="316"/>
      <c r="J1" s="316"/>
      <c r="K1" s="429"/>
      <c r="L1" s="429"/>
      <c r="M1" s="430"/>
      <c r="N1" s="430"/>
    </row>
    <row r="2" spans="1:14" x14ac:dyDescent="0.2">
      <c r="A2" s="111"/>
      <c r="B2" s="18" t="s">
        <v>116</v>
      </c>
      <c r="C2" s="19" t="s">
        <v>115</v>
      </c>
      <c r="D2" s="381" t="s">
        <v>114</v>
      </c>
      <c r="E2" s="19" t="s">
        <v>113</v>
      </c>
      <c r="F2" s="21" t="s">
        <v>112</v>
      </c>
      <c r="G2" s="22" t="s">
        <v>111</v>
      </c>
      <c r="H2" s="20" t="s">
        <v>110</v>
      </c>
      <c r="I2" s="23" t="s">
        <v>172</v>
      </c>
      <c r="J2" s="24" t="s">
        <v>191</v>
      </c>
      <c r="K2" s="205" t="s">
        <v>243</v>
      </c>
      <c r="L2" s="339" t="s">
        <v>256</v>
      </c>
      <c r="M2" s="205" t="s">
        <v>278</v>
      </c>
      <c r="N2" s="339" t="s">
        <v>286</v>
      </c>
    </row>
    <row r="3" spans="1:14" x14ac:dyDescent="0.2">
      <c r="A3" s="149" t="s">
        <v>60</v>
      </c>
      <c r="B3" s="123" t="s">
        <v>123</v>
      </c>
      <c r="C3" s="122" t="s">
        <v>122</v>
      </c>
      <c r="D3" s="382" t="s">
        <v>121</v>
      </c>
      <c r="E3" s="122" t="s">
        <v>120</v>
      </c>
      <c r="F3" s="123" t="s">
        <v>119</v>
      </c>
      <c r="G3" s="122" t="s">
        <v>118</v>
      </c>
      <c r="H3" s="124" t="s">
        <v>117</v>
      </c>
      <c r="I3" s="125" t="s">
        <v>173</v>
      </c>
      <c r="J3" s="126" t="s">
        <v>192</v>
      </c>
      <c r="K3" s="204" t="s">
        <v>244</v>
      </c>
      <c r="L3" s="64" t="s">
        <v>257</v>
      </c>
      <c r="M3" s="204" t="s">
        <v>279</v>
      </c>
      <c r="N3" s="64" t="s">
        <v>287</v>
      </c>
    </row>
    <row r="4" spans="1:14" x14ac:dyDescent="0.2">
      <c r="A4" s="88" t="s">
        <v>61</v>
      </c>
      <c r="B4" s="27"/>
      <c r="C4" s="28"/>
      <c r="D4" s="88"/>
      <c r="E4" s="28"/>
      <c r="F4" s="27"/>
      <c r="G4" s="28"/>
      <c r="H4" s="27"/>
      <c r="I4" s="29"/>
      <c r="J4" s="103"/>
      <c r="K4" s="29"/>
      <c r="L4" s="59"/>
      <c r="M4" s="29"/>
      <c r="N4" s="59"/>
    </row>
    <row r="5" spans="1:14" x14ac:dyDescent="0.2">
      <c r="A5" s="69" t="s">
        <v>264</v>
      </c>
      <c r="B5" s="27"/>
      <c r="C5" s="28"/>
      <c r="D5" s="88"/>
      <c r="E5" s="28"/>
      <c r="F5" s="27"/>
      <c r="G5" s="28"/>
      <c r="H5" s="27"/>
      <c r="I5" s="29"/>
      <c r="J5" s="103"/>
      <c r="K5" s="29"/>
      <c r="L5" s="59"/>
      <c r="M5" s="310">
        <v>0</v>
      </c>
      <c r="N5" s="57">
        <v>0</v>
      </c>
    </row>
    <row r="6" spans="1:14" x14ac:dyDescent="0.2">
      <c r="A6" s="69" t="s">
        <v>62</v>
      </c>
      <c r="B6" s="32">
        <v>1375747</v>
      </c>
      <c r="C6" s="31">
        <v>1292950</v>
      </c>
      <c r="D6" s="89">
        <v>1425766</v>
      </c>
      <c r="E6" s="31">
        <v>1897270</v>
      </c>
      <c r="F6" s="32">
        <v>1897212</v>
      </c>
      <c r="G6" s="31">
        <v>1497412</v>
      </c>
      <c r="H6" s="32">
        <v>1724262</v>
      </c>
      <c r="I6" s="33">
        <v>2365693</v>
      </c>
      <c r="J6" s="35">
        <v>2564083</v>
      </c>
      <c r="K6" s="206">
        <v>2654030</v>
      </c>
      <c r="L6" s="340">
        <v>2773027</v>
      </c>
      <c r="M6" s="206">
        <v>4175273</v>
      </c>
      <c r="N6" s="340">
        <v>2281453</v>
      </c>
    </row>
    <row r="7" spans="1:14" x14ac:dyDescent="0.2">
      <c r="A7" s="69" t="s">
        <v>63</v>
      </c>
      <c r="B7" s="32">
        <v>1614077</v>
      </c>
      <c r="C7" s="31">
        <v>1687510</v>
      </c>
      <c r="D7" s="89">
        <v>1529801</v>
      </c>
      <c r="E7" s="31">
        <v>2447058</v>
      </c>
      <c r="F7" s="32">
        <v>1123944</v>
      </c>
      <c r="G7" s="31">
        <v>1000914</v>
      </c>
      <c r="H7" s="32">
        <v>1683773</v>
      </c>
      <c r="I7" s="33">
        <v>1632929</v>
      </c>
      <c r="J7" s="35">
        <v>1903560</v>
      </c>
      <c r="K7" s="206">
        <v>1834928</v>
      </c>
      <c r="L7" s="340">
        <v>2024414</v>
      </c>
      <c r="M7" s="206">
        <v>1842736</v>
      </c>
      <c r="N7" s="340">
        <v>2016816</v>
      </c>
    </row>
    <row r="8" spans="1:14" x14ac:dyDescent="0.2">
      <c r="A8" s="69" t="s">
        <v>64</v>
      </c>
      <c r="B8" s="35">
        <v>0</v>
      </c>
      <c r="C8" s="31">
        <v>0</v>
      </c>
      <c r="D8" s="306">
        <v>0</v>
      </c>
      <c r="E8" s="31">
        <v>0</v>
      </c>
      <c r="F8" s="32">
        <v>1590050</v>
      </c>
      <c r="G8" s="31">
        <v>1584245</v>
      </c>
      <c r="H8" s="32">
        <v>1159770</v>
      </c>
      <c r="I8" s="33">
        <v>1795073</v>
      </c>
      <c r="J8" s="35">
        <v>3041141</v>
      </c>
      <c r="K8" s="206">
        <v>3182138</v>
      </c>
      <c r="L8" s="340">
        <v>3508002</v>
      </c>
      <c r="M8" s="206">
        <v>3727372</v>
      </c>
      <c r="N8" s="340">
        <v>2586624</v>
      </c>
    </row>
    <row r="9" spans="1:14" x14ac:dyDescent="0.2">
      <c r="A9" s="69" t="s">
        <v>65</v>
      </c>
      <c r="B9" s="35">
        <f>SUM(B6:B8)</f>
        <v>2989824</v>
      </c>
      <c r="C9" s="31">
        <f t="shared" ref="C9:K9" si="0">SUM(C6:C8)</f>
        <v>2980460</v>
      </c>
      <c r="D9" s="306">
        <f t="shared" si="0"/>
        <v>2955567</v>
      </c>
      <c r="E9" s="31">
        <f t="shared" si="0"/>
        <v>4344328</v>
      </c>
      <c r="F9" s="35">
        <f t="shared" si="0"/>
        <v>4611206</v>
      </c>
      <c r="G9" s="31">
        <f t="shared" si="0"/>
        <v>4082571</v>
      </c>
      <c r="H9" s="35">
        <f t="shared" si="0"/>
        <v>4567805</v>
      </c>
      <c r="I9" s="33">
        <f t="shared" si="0"/>
        <v>5793695</v>
      </c>
      <c r="J9" s="35">
        <f t="shared" si="0"/>
        <v>7508784</v>
      </c>
      <c r="K9" s="33">
        <f t="shared" si="0"/>
        <v>7671096</v>
      </c>
      <c r="L9" s="35">
        <f>SUM(L6:L8)</f>
        <v>8305443</v>
      </c>
      <c r="M9" s="33">
        <f>SUM(M6:M8)</f>
        <v>9745381</v>
      </c>
      <c r="N9" s="35">
        <f>SUM(N6:N8)</f>
        <v>6884893</v>
      </c>
    </row>
    <row r="10" spans="1:14" x14ac:dyDescent="0.2">
      <c r="A10" s="69" t="s">
        <v>66</v>
      </c>
      <c r="B10" s="32">
        <v>45013</v>
      </c>
      <c r="C10" s="31">
        <v>71984</v>
      </c>
      <c r="D10" s="383">
        <v>10980</v>
      </c>
      <c r="E10" s="31">
        <v>112416</v>
      </c>
      <c r="F10" s="32">
        <v>-612</v>
      </c>
      <c r="G10" s="31">
        <v>18961</v>
      </c>
      <c r="H10" s="159">
        <v>-53</v>
      </c>
      <c r="I10" s="33">
        <v>391</v>
      </c>
      <c r="J10" s="275">
        <v>-10786</v>
      </c>
      <c r="K10" s="206">
        <v>45440</v>
      </c>
      <c r="L10" s="335">
        <v>-2664</v>
      </c>
      <c r="M10" s="311">
        <v>-5070</v>
      </c>
      <c r="N10" s="335">
        <v>31</v>
      </c>
    </row>
    <row r="11" spans="1:14" x14ac:dyDescent="0.2">
      <c r="A11" s="72" t="s">
        <v>67</v>
      </c>
      <c r="B11" s="36">
        <f>SUM(B9:B10)</f>
        <v>3034837</v>
      </c>
      <c r="C11" s="37">
        <f t="shared" ref="C11:J11" si="1">SUM(C9:C10)</f>
        <v>3052444</v>
      </c>
      <c r="D11" s="307">
        <f t="shared" si="1"/>
        <v>2966547</v>
      </c>
      <c r="E11" s="37">
        <f t="shared" si="1"/>
        <v>4456744</v>
      </c>
      <c r="F11" s="36">
        <f t="shared" si="1"/>
        <v>4610594</v>
      </c>
      <c r="G11" s="37">
        <f t="shared" si="1"/>
        <v>4101532</v>
      </c>
      <c r="H11" s="36">
        <f t="shared" si="1"/>
        <v>4567752</v>
      </c>
      <c r="I11" s="38">
        <f t="shared" si="1"/>
        <v>5794086</v>
      </c>
      <c r="J11" s="36">
        <f t="shared" si="1"/>
        <v>7497998</v>
      </c>
      <c r="K11" s="38">
        <f>SUM(K9:K10)</f>
        <v>7716536</v>
      </c>
      <c r="L11" s="36">
        <f>SUM(L9:L10)</f>
        <v>8302779</v>
      </c>
      <c r="M11" s="38">
        <f>SUM(M9:M10)</f>
        <v>9740311</v>
      </c>
      <c r="N11" s="36">
        <f>SUM(N9:N10)</f>
        <v>6884924</v>
      </c>
    </row>
    <row r="12" spans="1:14" s="16" customFormat="1" ht="10.9" customHeight="1" x14ac:dyDescent="0.2">
      <c r="A12" s="132" t="s">
        <v>188</v>
      </c>
      <c r="B12" s="40"/>
      <c r="C12" s="40">
        <f t="shared" ref="C12:I12" si="2">(C11-B11)/B11</f>
        <v>5.8016295438601808E-3</v>
      </c>
      <c r="D12" s="132">
        <f t="shared" si="2"/>
        <v>-2.8140401592953057E-2</v>
      </c>
      <c r="E12" s="40">
        <f t="shared" si="2"/>
        <v>0.50233385818596499</v>
      </c>
      <c r="F12" s="40">
        <f t="shared" si="2"/>
        <v>3.4520717366759233E-2</v>
      </c>
      <c r="G12" s="40">
        <f t="shared" si="2"/>
        <v>-0.11041136998833556</v>
      </c>
      <c r="H12" s="40">
        <f t="shared" si="2"/>
        <v>0.11366972146017634</v>
      </c>
      <c r="I12" s="40">
        <f t="shared" si="2"/>
        <v>0.26847648471283031</v>
      </c>
      <c r="J12" s="40">
        <f>(J11-I11)/I11</f>
        <v>0.29407778897310122</v>
      </c>
      <c r="K12" s="40">
        <f>(K11-J11)/J11</f>
        <v>2.9146180087004557E-2</v>
      </c>
      <c r="L12" s="40">
        <f>(L11-K11)/K11</f>
        <v>7.5972301561218661E-2</v>
      </c>
      <c r="M12" s="40">
        <f>(M11-L11)/L11</f>
        <v>0.17313865634626671</v>
      </c>
      <c r="N12" s="40">
        <f>(N11-M11)/M11</f>
        <v>-0.29315152257458721</v>
      </c>
    </row>
    <row r="13" spans="1:14" x14ac:dyDescent="0.2">
      <c r="A13" s="88" t="s">
        <v>68</v>
      </c>
      <c r="B13" s="27"/>
      <c r="C13" s="26"/>
      <c r="D13" s="88"/>
      <c r="E13" s="26"/>
      <c r="F13" s="41"/>
      <c r="G13" s="26"/>
      <c r="H13" s="41"/>
      <c r="I13" s="42"/>
      <c r="J13" s="30"/>
      <c r="K13" s="207"/>
      <c r="L13" s="236"/>
      <c r="M13" s="207"/>
      <c r="N13" s="236"/>
    </row>
    <row r="14" spans="1:14" x14ac:dyDescent="0.2">
      <c r="A14" s="69" t="s">
        <v>69</v>
      </c>
      <c r="B14" s="32">
        <v>1879610</v>
      </c>
      <c r="C14" s="31">
        <v>1521894</v>
      </c>
      <c r="D14" s="89">
        <v>2374353</v>
      </c>
      <c r="E14" s="31">
        <v>1817060</v>
      </c>
      <c r="F14" s="32">
        <v>1892382</v>
      </c>
      <c r="G14" s="31">
        <v>2358481</v>
      </c>
      <c r="H14" s="32">
        <v>2157436</v>
      </c>
      <c r="I14" s="33">
        <v>1866242</v>
      </c>
      <c r="J14" s="34">
        <v>1894288</v>
      </c>
      <c r="K14" s="206">
        <v>2190416</v>
      </c>
      <c r="L14" s="340">
        <v>2102566</v>
      </c>
      <c r="M14" s="206">
        <v>1758592</v>
      </c>
      <c r="N14" s="340">
        <v>2237243</v>
      </c>
    </row>
    <row r="15" spans="1:14" x14ac:dyDescent="0.2">
      <c r="A15" s="69" t="s">
        <v>70</v>
      </c>
      <c r="B15" s="32">
        <v>465741</v>
      </c>
      <c r="C15" s="31">
        <v>521905</v>
      </c>
      <c r="D15" s="89">
        <v>508247</v>
      </c>
      <c r="E15" s="31">
        <v>544959</v>
      </c>
      <c r="F15" s="32">
        <v>548889</v>
      </c>
      <c r="G15" s="31">
        <v>494979</v>
      </c>
      <c r="H15" s="32">
        <v>536014</v>
      </c>
      <c r="I15" s="33">
        <v>508805</v>
      </c>
      <c r="J15" s="34">
        <v>570842</v>
      </c>
      <c r="K15" s="206">
        <v>438289</v>
      </c>
      <c r="L15" s="340">
        <v>575192</v>
      </c>
      <c r="M15" s="206">
        <v>422830</v>
      </c>
      <c r="N15" s="340">
        <v>447592</v>
      </c>
    </row>
    <row r="16" spans="1:14" x14ac:dyDescent="0.2">
      <c r="A16" s="69" t="s">
        <v>71</v>
      </c>
      <c r="B16" s="32">
        <v>465745</v>
      </c>
      <c r="C16" s="31">
        <v>491505</v>
      </c>
      <c r="D16" s="89">
        <v>399348</v>
      </c>
      <c r="E16" s="31">
        <v>429645</v>
      </c>
      <c r="F16" s="32">
        <v>286830</v>
      </c>
      <c r="G16" s="31">
        <v>360533</v>
      </c>
      <c r="H16" s="32">
        <v>403639</v>
      </c>
      <c r="I16" s="33">
        <v>425491</v>
      </c>
      <c r="J16" s="34">
        <v>491895</v>
      </c>
      <c r="K16" s="206">
        <v>546073</v>
      </c>
      <c r="L16" s="340">
        <v>379458</v>
      </c>
      <c r="M16" s="206">
        <v>474359</v>
      </c>
      <c r="N16" s="340">
        <v>544464</v>
      </c>
    </row>
    <row r="17" spans="1:14" x14ac:dyDescent="0.2">
      <c r="A17" s="69" t="s">
        <v>72</v>
      </c>
      <c r="B17" s="32">
        <v>121368</v>
      </c>
      <c r="C17" s="31">
        <v>188094</v>
      </c>
      <c r="D17" s="89">
        <v>108205</v>
      </c>
      <c r="E17" s="31">
        <v>180094</v>
      </c>
      <c r="F17" s="32">
        <v>118367</v>
      </c>
      <c r="G17" s="31">
        <v>123072</v>
      </c>
      <c r="H17" s="32">
        <v>136653</v>
      </c>
      <c r="I17" s="33">
        <v>147891</v>
      </c>
      <c r="J17" s="34">
        <v>149883</v>
      </c>
      <c r="K17" s="206">
        <v>196085</v>
      </c>
      <c r="L17" s="340">
        <v>159475</v>
      </c>
      <c r="M17" s="206">
        <v>130684</v>
      </c>
      <c r="N17" s="340">
        <v>180778</v>
      </c>
    </row>
    <row r="18" spans="1:14" x14ac:dyDescent="0.2">
      <c r="A18" s="69" t="s">
        <v>73</v>
      </c>
      <c r="B18" s="32">
        <v>3847157</v>
      </c>
      <c r="C18" s="31">
        <v>3823669</v>
      </c>
      <c r="D18" s="89">
        <v>4463818</v>
      </c>
      <c r="E18" s="31">
        <v>3955284</v>
      </c>
      <c r="F18" s="32">
        <v>3950192</v>
      </c>
      <c r="G18" s="31">
        <v>4416223</v>
      </c>
      <c r="H18" s="32">
        <v>4702938</v>
      </c>
      <c r="I18" s="33">
        <v>5861014</v>
      </c>
      <c r="J18" s="34">
        <v>4923580</v>
      </c>
      <c r="K18" s="206">
        <v>4676855</v>
      </c>
      <c r="L18" s="340">
        <v>6040837</v>
      </c>
      <c r="M18" s="206">
        <v>5335325</v>
      </c>
      <c r="N18" s="340">
        <v>5271545</v>
      </c>
    </row>
    <row r="19" spans="1:14" x14ac:dyDescent="0.2">
      <c r="A19" s="69" t="s">
        <v>74</v>
      </c>
      <c r="B19" s="32">
        <v>652</v>
      </c>
      <c r="C19" s="31">
        <v>580</v>
      </c>
      <c r="D19" s="89">
        <v>6282</v>
      </c>
      <c r="E19" s="31">
        <v>7599</v>
      </c>
      <c r="F19" s="32">
        <v>900</v>
      </c>
      <c r="G19" s="31">
        <v>1304</v>
      </c>
      <c r="H19" s="32">
        <v>569</v>
      </c>
      <c r="I19" s="33">
        <v>9169</v>
      </c>
      <c r="J19" s="34">
        <v>27308</v>
      </c>
      <c r="K19" s="208">
        <v>131</v>
      </c>
      <c r="L19" s="341">
        <v>217</v>
      </c>
      <c r="M19" s="208">
        <v>196</v>
      </c>
      <c r="N19" s="341">
        <v>0</v>
      </c>
    </row>
    <row r="20" spans="1:14" x14ac:dyDescent="0.2">
      <c r="A20" s="72" t="s">
        <v>75</v>
      </c>
      <c r="B20" s="36">
        <f>SUM(B14:B19)</f>
        <v>6780273</v>
      </c>
      <c r="C20" s="37">
        <f t="shared" ref="C20:K20" si="3">SUM(C14:C19)</f>
        <v>6547647</v>
      </c>
      <c r="D20" s="307">
        <f t="shared" si="3"/>
        <v>7860253</v>
      </c>
      <c r="E20" s="37">
        <f t="shared" si="3"/>
        <v>6934641</v>
      </c>
      <c r="F20" s="36">
        <f t="shared" si="3"/>
        <v>6797560</v>
      </c>
      <c r="G20" s="37">
        <f t="shared" si="3"/>
        <v>7754592</v>
      </c>
      <c r="H20" s="36">
        <f t="shared" si="3"/>
        <v>7937249</v>
      </c>
      <c r="I20" s="38">
        <f t="shared" si="3"/>
        <v>8818612</v>
      </c>
      <c r="J20" s="39">
        <f t="shared" si="3"/>
        <v>8057796</v>
      </c>
      <c r="K20" s="38">
        <f t="shared" si="3"/>
        <v>8047849</v>
      </c>
      <c r="L20" s="36">
        <f t="shared" ref="L20:N20" si="4">SUM(L14:L19)</f>
        <v>9257745</v>
      </c>
      <c r="M20" s="38">
        <f t="shared" si="4"/>
        <v>8121986</v>
      </c>
      <c r="N20" s="36">
        <f t="shared" si="4"/>
        <v>8681622</v>
      </c>
    </row>
    <row r="21" spans="1:14" ht="10.9" customHeight="1" x14ac:dyDescent="0.2">
      <c r="A21" s="132" t="s">
        <v>188</v>
      </c>
      <c r="B21" s="40"/>
      <c r="C21" s="40">
        <f t="shared" ref="C21:N21" si="5">(C20-B20)/B20</f>
        <v>-3.4309237990859658E-2</v>
      </c>
      <c r="D21" s="132">
        <f t="shared" si="5"/>
        <v>0.20046987872131775</v>
      </c>
      <c r="E21" s="40">
        <f t="shared" si="5"/>
        <v>-0.11775855051993873</v>
      </c>
      <c r="F21" s="40">
        <f t="shared" si="5"/>
        <v>-1.9767569799215273E-2</v>
      </c>
      <c r="G21" s="40">
        <f t="shared" si="5"/>
        <v>0.14079051895091768</v>
      </c>
      <c r="H21" s="40">
        <f t="shared" si="5"/>
        <v>2.3554688628363685E-2</v>
      </c>
      <c r="I21" s="40">
        <f t="shared" si="5"/>
        <v>0.11104136962315281</v>
      </c>
      <c r="J21" s="40">
        <f t="shared" si="5"/>
        <v>-8.6273894349813779E-2</v>
      </c>
      <c r="K21" s="40">
        <f t="shared" si="5"/>
        <v>-1.2344566678034539E-3</v>
      </c>
      <c r="L21" s="40">
        <f t="shared" si="5"/>
        <v>0.15033781076160849</v>
      </c>
      <c r="M21" s="40">
        <f t="shared" si="5"/>
        <v>-0.1226820354200726</v>
      </c>
      <c r="N21" s="40">
        <f t="shared" si="5"/>
        <v>6.8903837066451479E-2</v>
      </c>
    </row>
    <row r="22" spans="1:14" x14ac:dyDescent="0.2">
      <c r="A22" s="150" t="s">
        <v>76</v>
      </c>
      <c r="B22" s="32">
        <v>1101524</v>
      </c>
      <c r="C22" s="31">
        <v>979018</v>
      </c>
      <c r="D22" s="89">
        <v>929635</v>
      </c>
      <c r="E22" s="31">
        <v>1100631</v>
      </c>
      <c r="F22" s="35">
        <v>889120</v>
      </c>
      <c r="G22" s="31">
        <v>1027319</v>
      </c>
      <c r="H22" s="32">
        <v>1493857</v>
      </c>
      <c r="I22" s="43">
        <v>1508706</v>
      </c>
      <c r="J22" s="274">
        <v>1633356</v>
      </c>
      <c r="K22" s="209">
        <v>1751830</v>
      </c>
      <c r="L22" s="342">
        <f>75624+1909554+7526</f>
        <v>1992704</v>
      </c>
      <c r="M22" s="209">
        <v>1276794</v>
      </c>
      <c r="N22" s="342">
        <v>1717741</v>
      </c>
    </row>
    <row r="23" spans="1:14" x14ac:dyDescent="0.2">
      <c r="A23" s="72" t="s">
        <v>77</v>
      </c>
      <c r="B23" s="36">
        <f>SUM(B20:B22)</f>
        <v>7881797</v>
      </c>
      <c r="C23" s="37">
        <f t="shared" ref="C23:J23" si="6">SUM(C20:C22)</f>
        <v>7526664.9656907618</v>
      </c>
      <c r="D23" s="307">
        <f t="shared" si="6"/>
        <v>8789888.2004698776</v>
      </c>
      <c r="E23" s="37">
        <f t="shared" si="6"/>
        <v>8035271.8822414493</v>
      </c>
      <c r="F23" s="36">
        <f t="shared" si="6"/>
        <v>7686679.9802324306</v>
      </c>
      <c r="G23" s="37">
        <f t="shared" si="6"/>
        <v>8781911.1407905184</v>
      </c>
      <c r="H23" s="36">
        <f t="shared" si="6"/>
        <v>9431106.0235546883</v>
      </c>
      <c r="I23" s="38">
        <f t="shared" si="6"/>
        <v>10327318.111041369</v>
      </c>
      <c r="J23" s="36">
        <f t="shared" si="6"/>
        <v>9691151.9137261063</v>
      </c>
      <c r="K23" s="38">
        <f t="shared" ref="K23:L23" si="7">SUM(K20+K22)</f>
        <v>9799679</v>
      </c>
      <c r="L23" s="36">
        <f t="shared" si="7"/>
        <v>11250449</v>
      </c>
      <c r="M23" s="38">
        <f t="shared" ref="M23:N23" si="8">SUM(M20+M22)</f>
        <v>9398780</v>
      </c>
      <c r="N23" s="36">
        <f t="shared" si="8"/>
        <v>10399363</v>
      </c>
    </row>
    <row r="24" spans="1:14" ht="10.9" customHeight="1" x14ac:dyDescent="0.2">
      <c r="A24" s="132" t="s">
        <v>188</v>
      </c>
      <c r="B24" s="40"/>
      <c r="C24" s="40">
        <f t="shared" ref="C24:N24" si="9">(C23-B23)/B23</f>
        <v>-4.5057241934705776E-2</v>
      </c>
      <c r="D24" s="132">
        <f t="shared" si="9"/>
        <v>0.16783306292193692</v>
      </c>
      <c r="E24" s="40">
        <f t="shared" si="9"/>
        <v>-8.585050242027982E-2</v>
      </c>
      <c r="F24" s="40">
        <f t="shared" si="9"/>
        <v>-4.3382714003670844E-2</v>
      </c>
      <c r="G24" s="40">
        <f t="shared" si="9"/>
        <v>0.14248429274727917</v>
      </c>
      <c r="H24" s="40">
        <f t="shared" si="9"/>
        <v>7.3924100615043523E-2</v>
      </c>
      <c r="I24" s="40">
        <f t="shared" si="9"/>
        <v>9.5027251867208715E-2</v>
      </c>
      <c r="J24" s="40">
        <f t="shared" si="9"/>
        <v>-6.1600329386107579E-2</v>
      </c>
      <c r="K24" s="40">
        <f t="shared" si="9"/>
        <v>1.1198574456374054E-2</v>
      </c>
      <c r="L24" s="40">
        <f t="shared" si="9"/>
        <v>0.14804260425264951</v>
      </c>
      <c r="M24" s="40">
        <f t="shared" si="9"/>
        <v>-0.16458623118064</v>
      </c>
      <c r="N24" s="40">
        <f t="shared" si="9"/>
        <v>0.10645881699539728</v>
      </c>
    </row>
    <row r="25" spans="1:14" x14ac:dyDescent="0.2">
      <c r="A25" s="69" t="s">
        <v>55</v>
      </c>
      <c r="B25" s="32">
        <v>-56600</v>
      </c>
      <c r="C25" s="31">
        <v>-64882</v>
      </c>
      <c r="D25" s="89">
        <v>-5992</v>
      </c>
      <c r="E25" s="31">
        <v>-2047</v>
      </c>
      <c r="F25" s="32">
        <v>86399</v>
      </c>
      <c r="G25" s="286">
        <v>-10415</v>
      </c>
      <c r="H25" s="32">
        <v>553</v>
      </c>
      <c r="I25" s="33">
        <v>1097</v>
      </c>
      <c r="J25" s="35">
        <v>15913</v>
      </c>
      <c r="K25" s="213">
        <v>16078</v>
      </c>
      <c r="L25" s="343">
        <v>-49800</v>
      </c>
      <c r="M25" s="312">
        <v>69478</v>
      </c>
      <c r="N25" s="343">
        <v>34121</v>
      </c>
    </row>
    <row r="26" spans="1:14" x14ac:dyDescent="0.2">
      <c r="A26" s="88" t="s">
        <v>78</v>
      </c>
      <c r="B26" s="27"/>
      <c r="C26" s="28"/>
      <c r="D26" s="91"/>
      <c r="E26" s="26"/>
      <c r="F26" s="41"/>
      <c r="G26" s="26"/>
      <c r="H26" s="41"/>
      <c r="I26" s="42"/>
      <c r="J26" s="103"/>
      <c r="K26" s="210"/>
      <c r="L26" s="344"/>
      <c r="M26" s="210"/>
      <c r="N26" s="344"/>
    </row>
    <row r="27" spans="1:14" x14ac:dyDescent="0.2">
      <c r="A27" s="69" t="s">
        <v>355</v>
      </c>
      <c r="B27" s="32">
        <v>255688</v>
      </c>
      <c r="C27" s="31">
        <v>291215</v>
      </c>
      <c r="D27" s="89">
        <v>252654</v>
      </c>
      <c r="E27" s="31">
        <v>239565</v>
      </c>
      <c r="F27" s="32">
        <v>256366</v>
      </c>
      <c r="G27" s="31">
        <v>257148</v>
      </c>
      <c r="H27" s="32">
        <v>263163</v>
      </c>
      <c r="I27" s="33">
        <v>270536</v>
      </c>
      <c r="J27" s="35">
        <v>258102</v>
      </c>
      <c r="K27" s="211">
        <v>268600</v>
      </c>
      <c r="L27" s="345">
        <v>288629</v>
      </c>
      <c r="M27" s="211">
        <v>284632</v>
      </c>
      <c r="N27" s="345">
        <v>281559</v>
      </c>
    </row>
    <row r="28" spans="1:14" x14ac:dyDescent="0.2">
      <c r="A28" s="69" t="s">
        <v>356</v>
      </c>
      <c r="B28" s="32">
        <v>1763056</v>
      </c>
      <c r="C28" s="31">
        <v>1944473</v>
      </c>
      <c r="D28" s="89">
        <v>1904391</v>
      </c>
      <c r="E28" s="31">
        <v>1771405</v>
      </c>
      <c r="F28" s="32">
        <v>1918338</v>
      </c>
      <c r="G28" s="31">
        <v>1810461</v>
      </c>
      <c r="H28" s="32">
        <v>1796266</v>
      </c>
      <c r="I28" s="33">
        <v>1714996</v>
      </c>
      <c r="J28" s="35">
        <v>1933173</v>
      </c>
      <c r="K28" s="206">
        <v>2001564</v>
      </c>
      <c r="L28" s="340">
        <v>1994805</v>
      </c>
      <c r="M28" s="206">
        <v>2092722</v>
      </c>
      <c r="N28" s="340">
        <v>2113965</v>
      </c>
    </row>
    <row r="29" spans="1:14" x14ac:dyDescent="0.2">
      <c r="A29" s="69" t="s">
        <v>359</v>
      </c>
      <c r="B29" s="32">
        <v>344950</v>
      </c>
      <c r="C29" s="31">
        <v>395024</v>
      </c>
      <c r="D29" s="89">
        <v>237789</v>
      </c>
      <c r="E29" s="31">
        <v>315978</v>
      </c>
      <c r="F29" s="32">
        <v>363066</v>
      </c>
      <c r="G29" s="31">
        <v>354900</v>
      </c>
      <c r="H29" s="32">
        <v>387283</v>
      </c>
      <c r="I29" s="33">
        <v>344453</v>
      </c>
      <c r="J29" s="35">
        <v>351832</v>
      </c>
      <c r="K29" s="212">
        <f>200710+165706</f>
        <v>366416</v>
      </c>
      <c r="L29" s="426">
        <v>299292</v>
      </c>
      <c r="M29" s="313">
        <v>421570</v>
      </c>
      <c r="N29" s="346">
        <v>357071</v>
      </c>
    </row>
    <row r="30" spans="1:14" x14ac:dyDescent="0.2">
      <c r="A30" s="69" t="s">
        <v>79</v>
      </c>
      <c r="B30" s="32">
        <v>20065</v>
      </c>
      <c r="C30" s="31">
        <v>19464</v>
      </c>
      <c r="D30" s="89">
        <v>19114</v>
      </c>
      <c r="E30" s="31">
        <v>18866</v>
      </c>
      <c r="F30" s="32">
        <v>16536</v>
      </c>
      <c r="G30" s="31">
        <v>16293</v>
      </c>
      <c r="H30" s="32">
        <v>14760</v>
      </c>
      <c r="I30" s="33">
        <v>35741</v>
      </c>
      <c r="J30" s="35">
        <v>74304</v>
      </c>
      <c r="K30" s="206">
        <v>112802</v>
      </c>
      <c r="L30" s="340">
        <v>139874</v>
      </c>
      <c r="M30" s="206">
        <v>54903</v>
      </c>
      <c r="N30" s="340">
        <v>14552</v>
      </c>
    </row>
    <row r="31" spans="1:14" x14ac:dyDescent="0.2">
      <c r="A31" s="72" t="s">
        <v>80</v>
      </c>
      <c r="B31" s="36">
        <f>SUM(B27:B30)</f>
        <v>2383759</v>
      </c>
      <c r="C31" s="37">
        <f t="shared" ref="C31:J31" si="10">SUM(C27:C30)</f>
        <v>2650176</v>
      </c>
      <c r="D31" s="307">
        <f t="shared" si="10"/>
        <v>2413948</v>
      </c>
      <c r="E31" s="37">
        <f t="shared" si="10"/>
        <v>2345814</v>
      </c>
      <c r="F31" s="36">
        <f t="shared" si="10"/>
        <v>2554306</v>
      </c>
      <c r="G31" s="37">
        <f t="shared" si="10"/>
        <v>2438802</v>
      </c>
      <c r="H31" s="36">
        <f t="shared" si="10"/>
        <v>2461472</v>
      </c>
      <c r="I31" s="38">
        <f t="shared" si="10"/>
        <v>2365726</v>
      </c>
      <c r="J31" s="36">
        <f t="shared" si="10"/>
        <v>2617411</v>
      </c>
      <c r="K31" s="38">
        <f>SUM(K27:K30)</f>
        <v>2749382</v>
      </c>
      <c r="L31" s="36">
        <f>SUM(L27:L30)</f>
        <v>2722600</v>
      </c>
      <c r="M31" s="38">
        <f>SUM(M27:M30)</f>
        <v>2853827</v>
      </c>
      <c r="N31" s="36">
        <f>SUM(N27:N30)</f>
        <v>2767147</v>
      </c>
    </row>
    <row r="32" spans="1:14" ht="10.9" customHeight="1" x14ac:dyDescent="0.2">
      <c r="A32" s="132" t="s">
        <v>188</v>
      </c>
      <c r="B32" s="40"/>
      <c r="C32" s="40">
        <f t="shared" ref="C32:N32" si="11">(C31-B31)/B31</f>
        <v>0.11176339554459994</v>
      </c>
      <c r="D32" s="132">
        <f t="shared" si="11"/>
        <v>-8.913672148566737E-2</v>
      </c>
      <c r="E32" s="40">
        <f t="shared" si="11"/>
        <v>-2.8225131610125818E-2</v>
      </c>
      <c r="F32" s="40">
        <f t="shared" si="11"/>
        <v>8.8878316865702051E-2</v>
      </c>
      <c r="G32" s="40">
        <f t="shared" si="11"/>
        <v>-4.5219327676480424E-2</v>
      </c>
      <c r="H32" s="40">
        <f t="shared" si="11"/>
        <v>9.2955475680272532E-3</v>
      </c>
      <c r="I32" s="40">
        <f t="shared" si="11"/>
        <v>-3.8897862742294044E-2</v>
      </c>
      <c r="J32" s="40">
        <f t="shared" si="11"/>
        <v>0.10638806015574077</v>
      </c>
      <c r="K32" s="40">
        <f t="shared" si="11"/>
        <v>5.042043454390617E-2</v>
      </c>
      <c r="L32" s="40">
        <f t="shared" si="11"/>
        <v>-9.7410981813367513E-3</v>
      </c>
      <c r="M32" s="40">
        <f t="shared" si="11"/>
        <v>4.819914787335635E-2</v>
      </c>
      <c r="N32" s="40">
        <f t="shared" si="11"/>
        <v>-3.0373249674910216E-2</v>
      </c>
    </row>
    <row r="33" spans="1:15" x14ac:dyDescent="0.2">
      <c r="A33" s="69" t="s">
        <v>81</v>
      </c>
      <c r="B33" s="32">
        <v>68356</v>
      </c>
      <c r="C33" s="31">
        <v>54630</v>
      </c>
      <c r="D33" s="306">
        <v>47103</v>
      </c>
      <c r="E33" s="31">
        <v>51003</v>
      </c>
      <c r="F33" s="35">
        <v>47467</v>
      </c>
      <c r="G33" s="31">
        <v>58240</v>
      </c>
      <c r="H33" s="32">
        <v>55617</v>
      </c>
      <c r="I33" s="33">
        <v>53581</v>
      </c>
      <c r="J33" s="35">
        <v>55952</v>
      </c>
      <c r="K33" s="213">
        <v>48074</v>
      </c>
      <c r="L33" s="347">
        <v>43821</v>
      </c>
      <c r="M33" s="213">
        <v>45269</v>
      </c>
      <c r="N33" s="347">
        <v>46461</v>
      </c>
    </row>
    <row r="34" spans="1:15" x14ac:dyDescent="0.2">
      <c r="A34" s="69" t="s">
        <v>82</v>
      </c>
      <c r="B34" s="32">
        <v>620860</v>
      </c>
      <c r="C34" s="31">
        <v>482785</v>
      </c>
      <c r="D34" s="306">
        <v>645448</v>
      </c>
      <c r="E34" s="31">
        <v>586170</v>
      </c>
      <c r="F34" s="35">
        <v>625812</v>
      </c>
      <c r="G34" s="31">
        <v>611068</v>
      </c>
      <c r="H34" s="32">
        <v>580134</v>
      </c>
      <c r="I34" s="33">
        <v>715029</v>
      </c>
      <c r="J34" s="35">
        <v>954383</v>
      </c>
      <c r="K34" s="214">
        <v>868959</v>
      </c>
      <c r="L34" s="349">
        <v>952697</v>
      </c>
      <c r="M34" s="314">
        <v>996609</v>
      </c>
      <c r="N34" s="348">
        <v>1296038</v>
      </c>
      <c r="O34" s="362"/>
    </row>
    <row r="35" spans="1:15" x14ac:dyDescent="0.2">
      <c r="A35" s="69" t="s">
        <v>367</v>
      </c>
      <c r="B35" s="32"/>
      <c r="C35" s="31"/>
      <c r="D35" s="306"/>
      <c r="E35" s="31"/>
      <c r="F35" s="35">
        <v>69354</v>
      </c>
      <c r="G35" s="31">
        <v>148873</v>
      </c>
      <c r="H35" s="32">
        <v>186143</v>
      </c>
      <c r="I35" s="33">
        <v>173498</v>
      </c>
      <c r="J35" s="35">
        <v>180936</v>
      </c>
      <c r="K35" s="214">
        <v>176526</v>
      </c>
      <c r="L35" s="349">
        <v>175022</v>
      </c>
      <c r="M35" s="314">
        <v>136386</v>
      </c>
      <c r="N35" s="348">
        <v>118344</v>
      </c>
      <c r="O35" s="362"/>
    </row>
    <row r="36" spans="1:15" x14ac:dyDescent="0.2">
      <c r="A36" s="68" t="s">
        <v>83</v>
      </c>
      <c r="B36" s="36">
        <f>SUM(B33:B34)</f>
        <v>689216</v>
      </c>
      <c r="C36" s="37">
        <f t="shared" ref="C36:D36" si="12">SUM(C33:C34)</f>
        <v>537415</v>
      </c>
      <c r="D36" s="307">
        <f t="shared" si="12"/>
        <v>692551</v>
      </c>
      <c r="E36" s="37">
        <f t="shared" ref="E36:N36" si="13">SUM(E33:E35)</f>
        <v>637173</v>
      </c>
      <c r="F36" s="36">
        <f t="shared" si="13"/>
        <v>742633</v>
      </c>
      <c r="G36" s="37">
        <f t="shared" si="13"/>
        <v>818181</v>
      </c>
      <c r="H36" s="36">
        <f t="shared" si="13"/>
        <v>821894</v>
      </c>
      <c r="I36" s="38">
        <f t="shared" si="13"/>
        <v>942108</v>
      </c>
      <c r="J36" s="36">
        <f t="shared" si="13"/>
        <v>1191271</v>
      </c>
      <c r="K36" s="38">
        <f t="shared" si="13"/>
        <v>1093559</v>
      </c>
      <c r="L36" s="36">
        <f t="shared" si="13"/>
        <v>1171540</v>
      </c>
      <c r="M36" s="38">
        <f t="shared" si="13"/>
        <v>1178264</v>
      </c>
      <c r="N36" s="36">
        <f t="shared" si="13"/>
        <v>1460843</v>
      </c>
    </row>
    <row r="37" spans="1:15" ht="10.9" customHeight="1" x14ac:dyDescent="0.2">
      <c r="A37" s="132" t="s">
        <v>188</v>
      </c>
      <c r="B37" s="40"/>
      <c r="C37" s="40">
        <f t="shared" ref="C37:N37" si="14">(C36-B36)/B36</f>
        <v>-0.22025170628656329</v>
      </c>
      <c r="D37" s="132">
        <f t="shared" si="14"/>
        <v>0.28867076653982493</v>
      </c>
      <c r="E37" s="40">
        <f t="shared" si="14"/>
        <v>-7.9962342123540364E-2</v>
      </c>
      <c r="F37" s="40">
        <f t="shared" si="14"/>
        <v>0.16551234907944937</v>
      </c>
      <c r="G37" s="40">
        <f t="shared" si="14"/>
        <v>0.10172992581800162</v>
      </c>
      <c r="H37" s="40">
        <f t="shared" si="14"/>
        <v>4.5381156492267606E-3</v>
      </c>
      <c r="I37" s="40">
        <f t="shared" si="14"/>
        <v>0.14626460346468037</v>
      </c>
      <c r="J37" s="40">
        <f t="shared" si="14"/>
        <v>0.26447392443329215</v>
      </c>
      <c r="K37" s="40">
        <f t="shared" si="14"/>
        <v>-8.2023317952002531E-2</v>
      </c>
      <c r="L37" s="40">
        <f t="shared" si="14"/>
        <v>7.1309366938592245E-2</v>
      </c>
      <c r="M37" s="40">
        <f t="shared" si="14"/>
        <v>5.7394540519316454E-3</v>
      </c>
      <c r="N37" s="40">
        <f t="shared" si="14"/>
        <v>0.2398265583943836</v>
      </c>
    </row>
    <row r="38" spans="1:15" x14ac:dyDescent="0.2">
      <c r="A38" s="72" t="s">
        <v>26</v>
      </c>
      <c r="B38" s="36">
        <f>SUM(B36,B31)</f>
        <v>3072975</v>
      </c>
      <c r="C38" s="37">
        <f t="shared" ref="C38:J38" si="15">SUM(C36,C31)</f>
        <v>3187591</v>
      </c>
      <c r="D38" s="307">
        <f t="shared" si="15"/>
        <v>3106499</v>
      </c>
      <c r="E38" s="37">
        <f t="shared" si="15"/>
        <v>2982987</v>
      </c>
      <c r="F38" s="36">
        <f t="shared" si="15"/>
        <v>3296939</v>
      </c>
      <c r="G38" s="38">
        <f t="shared" si="15"/>
        <v>3256983</v>
      </c>
      <c r="H38" s="36">
        <f t="shared" si="15"/>
        <v>3283366</v>
      </c>
      <c r="I38" s="38">
        <f t="shared" si="15"/>
        <v>3307834</v>
      </c>
      <c r="J38" s="36">
        <f t="shared" si="15"/>
        <v>3808682</v>
      </c>
      <c r="K38" s="38">
        <f>SUM(K36,K31)</f>
        <v>3842941</v>
      </c>
      <c r="L38" s="36">
        <f>SUM(L36,L31)</f>
        <v>3894140</v>
      </c>
      <c r="M38" s="38">
        <f>SUM(M36,M31)</f>
        <v>4032091</v>
      </c>
      <c r="N38" s="36">
        <f>SUM(N36,N31)</f>
        <v>4227990</v>
      </c>
      <c r="O38" s="216"/>
    </row>
    <row r="39" spans="1:15" x14ac:dyDescent="0.2">
      <c r="A39" s="69" t="s">
        <v>57</v>
      </c>
      <c r="B39" s="32">
        <v>24865</v>
      </c>
      <c r="C39" s="31">
        <v>-67983</v>
      </c>
      <c r="D39" s="306">
        <v>48875</v>
      </c>
      <c r="E39" s="31">
        <v>99859</v>
      </c>
      <c r="F39" s="35">
        <v>124549</v>
      </c>
      <c r="G39" s="33">
        <v>242983</v>
      </c>
      <c r="H39" s="32">
        <v>178650</v>
      </c>
      <c r="I39" s="33">
        <v>193068</v>
      </c>
      <c r="J39" s="35">
        <v>118776</v>
      </c>
      <c r="K39" s="215">
        <v>717</v>
      </c>
      <c r="L39" s="349">
        <v>18862</v>
      </c>
      <c r="M39" s="214">
        <v>205473</v>
      </c>
      <c r="N39" s="349">
        <v>428769</v>
      </c>
    </row>
    <row r="40" spans="1:15" x14ac:dyDescent="0.2">
      <c r="A40" s="72" t="s">
        <v>84</v>
      </c>
      <c r="B40" s="36">
        <f t="shared" ref="B40:K40" si="16">SUM(B38:B39)</f>
        <v>3097840</v>
      </c>
      <c r="C40" s="37">
        <f t="shared" si="16"/>
        <v>3119608</v>
      </c>
      <c r="D40" s="307">
        <f t="shared" si="16"/>
        <v>3155374</v>
      </c>
      <c r="E40" s="37">
        <f t="shared" si="16"/>
        <v>3082846</v>
      </c>
      <c r="F40" s="36">
        <f t="shared" si="16"/>
        <v>3421488</v>
      </c>
      <c r="G40" s="38">
        <f t="shared" si="16"/>
        <v>3499966</v>
      </c>
      <c r="H40" s="36">
        <f t="shared" si="16"/>
        <v>3462016</v>
      </c>
      <c r="I40" s="38">
        <f t="shared" si="16"/>
        <v>3500902</v>
      </c>
      <c r="J40" s="36">
        <f t="shared" si="16"/>
        <v>3927458</v>
      </c>
      <c r="K40" s="38">
        <f t="shared" si="16"/>
        <v>3843658</v>
      </c>
      <c r="L40" s="39">
        <f t="shared" ref="L40:N40" si="17">SUM(L38:L39)</f>
        <v>3913002</v>
      </c>
      <c r="M40" s="38">
        <f t="shared" si="17"/>
        <v>4237564</v>
      </c>
      <c r="N40" s="36">
        <f t="shared" si="17"/>
        <v>4656759</v>
      </c>
    </row>
    <row r="41" spans="1:15" ht="11.45" customHeight="1" x14ac:dyDescent="0.2">
      <c r="A41" s="132" t="s">
        <v>188</v>
      </c>
      <c r="B41" s="40"/>
      <c r="C41" s="40">
        <f t="shared" ref="C41:N41" si="18">(C40-B40)/B40</f>
        <v>7.0268315987914156E-3</v>
      </c>
      <c r="D41" s="132">
        <f t="shared" si="18"/>
        <v>1.1464902000507756E-2</v>
      </c>
      <c r="E41" s="40">
        <f t="shared" si="18"/>
        <v>-2.2985547830463204E-2</v>
      </c>
      <c r="F41" s="40">
        <f t="shared" si="18"/>
        <v>0.10984719963306633</v>
      </c>
      <c r="G41" s="40">
        <f t="shared" si="18"/>
        <v>2.2936804103945416E-2</v>
      </c>
      <c r="H41" s="40">
        <f t="shared" si="18"/>
        <v>-1.084296247449261E-2</v>
      </c>
      <c r="I41" s="40">
        <f t="shared" si="18"/>
        <v>1.1232183791178319E-2</v>
      </c>
      <c r="J41" s="40">
        <f t="shared" si="18"/>
        <v>0.12184174249950441</v>
      </c>
      <c r="K41" s="40">
        <f t="shared" si="18"/>
        <v>-2.1336956372289658E-2</v>
      </c>
      <c r="L41" s="40">
        <f t="shared" si="18"/>
        <v>1.8041147261280789E-2</v>
      </c>
      <c r="M41" s="40">
        <f t="shared" si="18"/>
        <v>8.2944501433937418E-2</v>
      </c>
      <c r="N41" s="40">
        <f t="shared" si="18"/>
        <v>9.8923579679268556E-2</v>
      </c>
    </row>
    <row r="42" spans="1:15" x14ac:dyDescent="0.2">
      <c r="A42" s="88" t="s">
        <v>85</v>
      </c>
      <c r="B42" s="27"/>
      <c r="C42" s="28"/>
      <c r="D42" s="88"/>
      <c r="E42" s="26"/>
      <c r="F42" s="41"/>
      <c r="G42" s="26"/>
      <c r="H42" s="41"/>
      <c r="I42" s="42"/>
      <c r="J42" s="103"/>
      <c r="K42" s="207"/>
      <c r="L42" s="236"/>
      <c r="M42" s="207"/>
      <c r="N42" s="236"/>
    </row>
    <row r="43" spans="1:15" x14ac:dyDescent="0.2">
      <c r="A43" s="69" t="s">
        <v>264</v>
      </c>
      <c r="B43" s="27"/>
      <c r="C43" s="28"/>
      <c r="D43" s="88"/>
      <c r="E43" s="26"/>
      <c r="F43" s="41"/>
      <c r="G43" s="26"/>
      <c r="H43" s="41"/>
      <c r="I43" s="42"/>
      <c r="J43" s="103"/>
      <c r="K43" s="207"/>
      <c r="L43" s="350">
        <v>195</v>
      </c>
      <c r="M43" s="315">
        <v>0</v>
      </c>
      <c r="N43" s="350">
        <v>0</v>
      </c>
    </row>
    <row r="44" spans="1:15" x14ac:dyDescent="0.2">
      <c r="A44" s="69" t="s">
        <v>62</v>
      </c>
      <c r="B44" s="32">
        <v>5445878</v>
      </c>
      <c r="C44" s="31">
        <v>5199469</v>
      </c>
      <c r="D44" s="89">
        <v>6481099</v>
      </c>
      <c r="E44" s="31">
        <v>6615633</v>
      </c>
      <c r="F44" s="32">
        <v>5968801</v>
      </c>
      <c r="G44" s="31">
        <v>6520380</v>
      </c>
      <c r="H44" s="32">
        <v>7494103</v>
      </c>
      <c r="I44" s="33">
        <v>7959406</v>
      </c>
      <c r="J44" s="35">
        <v>7778447</v>
      </c>
      <c r="K44" s="206">
        <v>8408856</v>
      </c>
      <c r="L44" s="340">
        <v>9669940</v>
      </c>
      <c r="M44" s="206">
        <v>8711001</v>
      </c>
      <c r="N44" s="340">
        <v>8318590</v>
      </c>
    </row>
    <row r="45" spans="1:15" x14ac:dyDescent="0.2">
      <c r="A45" s="69" t="s">
        <v>63</v>
      </c>
      <c r="B45" s="32">
        <v>2316316</v>
      </c>
      <c r="C45" s="31">
        <v>2195150</v>
      </c>
      <c r="D45" s="89">
        <v>2113970</v>
      </c>
      <c r="E45" s="31">
        <v>2791490</v>
      </c>
      <c r="F45" s="32">
        <v>876247</v>
      </c>
      <c r="G45" s="31">
        <v>945949</v>
      </c>
      <c r="H45" s="32">
        <v>1582578</v>
      </c>
      <c r="I45" s="33">
        <v>1778142</v>
      </c>
      <c r="J45" s="35">
        <v>1754284</v>
      </c>
      <c r="K45" s="206">
        <v>1712544</v>
      </c>
      <c r="L45" s="340">
        <v>2218808</v>
      </c>
      <c r="M45" s="206">
        <v>2336321</v>
      </c>
      <c r="N45" s="340">
        <v>1622852</v>
      </c>
    </row>
    <row r="46" spans="1:15" x14ac:dyDescent="0.2">
      <c r="A46" s="69" t="s">
        <v>64</v>
      </c>
      <c r="B46" s="35">
        <v>0</v>
      </c>
      <c r="C46" s="31">
        <v>0</v>
      </c>
      <c r="D46" s="306">
        <v>0</v>
      </c>
      <c r="E46" s="31">
        <v>0</v>
      </c>
      <c r="F46" s="32">
        <v>2117137</v>
      </c>
      <c r="G46" s="31">
        <v>1906733</v>
      </c>
      <c r="H46" s="32">
        <v>1460714</v>
      </c>
      <c r="I46" s="33">
        <v>2884051</v>
      </c>
      <c r="J46" s="35">
        <v>3744874</v>
      </c>
      <c r="K46" s="206">
        <v>3567235</v>
      </c>
      <c r="L46" s="340">
        <v>3701483</v>
      </c>
      <c r="M46" s="206">
        <v>3923683</v>
      </c>
      <c r="N46" s="340">
        <v>2720207</v>
      </c>
    </row>
    <row r="47" spans="1:15" x14ac:dyDescent="0.2">
      <c r="A47" s="72" t="s">
        <v>86</v>
      </c>
      <c r="B47" s="36">
        <f>SUM(B44:B45)</f>
        <v>7762194</v>
      </c>
      <c r="C47" s="37">
        <f>SUM(C44:C45)</f>
        <v>7394619</v>
      </c>
      <c r="D47" s="307">
        <f>SUM(D44:D45)</f>
        <v>8595069</v>
      </c>
      <c r="E47" s="37">
        <f>SUM(E44:E45)</f>
        <v>9407123</v>
      </c>
      <c r="F47" s="36">
        <f>SUM(F44:F46)</f>
        <v>8962185</v>
      </c>
      <c r="G47" s="37">
        <f>SUM(G44:G46)</f>
        <v>9373062</v>
      </c>
      <c r="H47" s="36">
        <f>SUM(H44:H46)</f>
        <v>10537395</v>
      </c>
      <c r="I47" s="38">
        <f>SUM(I44:I46)</f>
        <v>12621599</v>
      </c>
      <c r="J47" s="36">
        <f>SUM(J44:J46)</f>
        <v>13277605</v>
      </c>
      <c r="K47" s="38">
        <f t="shared" ref="K47" si="19">SUM(K44:K46)</f>
        <v>13688635</v>
      </c>
      <c r="L47" s="36">
        <f>SUM(L43:L46)</f>
        <v>15590426</v>
      </c>
      <c r="M47" s="38">
        <f>SUM(M43:M46)</f>
        <v>14971005</v>
      </c>
      <c r="N47" s="36">
        <f>SUM(N43:N46)</f>
        <v>12661649</v>
      </c>
    </row>
    <row r="48" spans="1:15" ht="10.9" customHeight="1" x14ac:dyDescent="0.2">
      <c r="A48" s="132" t="s">
        <v>188</v>
      </c>
      <c r="B48" s="40"/>
      <c r="C48" s="40">
        <f t="shared" ref="C48:N48" si="20">(C47-B47)/B47</f>
        <v>-4.7354523733882457E-2</v>
      </c>
      <c r="D48" s="132">
        <f t="shared" si="20"/>
        <v>0.16234102122097163</v>
      </c>
      <c r="E48" s="40">
        <f t="shared" si="20"/>
        <v>9.4479055374657256E-2</v>
      </c>
      <c r="F48" s="40">
        <f t="shared" si="20"/>
        <v>-4.7297988981328296E-2</v>
      </c>
      <c r="G48" s="40">
        <f t="shared" si="20"/>
        <v>4.5845628047178226E-2</v>
      </c>
      <c r="H48" s="40">
        <f t="shared" si="20"/>
        <v>0.12422119900625857</v>
      </c>
      <c r="I48" s="40">
        <f t="shared" si="20"/>
        <v>0.19779119981741217</v>
      </c>
      <c r="J48" s="40">
        <f t="shared" si="20"/>
        <v>5.1974872597362665E-2</v>
      </c>
      <c r="K48" s="40">
        <f t="shared" si="20"/>
        <v>3.0956637134483215E-2</v>
      </c>
      <c r="L48" s="40">
        <f t="shared" si="20"/>
        <v>0.13893211412240886</v>
      </c>
      <c r="M48" s="40">
        <f t="shared" si="20"/>
        <v>-3.9730857899585297E-2</v>
      </c>
      <c r="N48" s="40">
        <f t="shared" si="20"/>
        <v>-0.15425524204954844</v>
      </c>
    </row>
    <row r="49" spans="1:14" x14ac:dyDescent="0.2">
      <c r="A49" s="432" t="s">
        <v>87</v>
      </c>
      <c r="B49" s="45">
        <f t="shared" ref="B49:K49" si="21">SUM(B11+B23+B25-B40)</f>
        <v>7762194</v>
      </c>
      <c r="C49" s="45">
        <f t="shared" si="21"/>
        <v>7394618.9656907618</v>
      </c>
      <c r="D49" s="395">
        <f t="shared" si="21"/>
        <v>8595069.2004698776</v>
      </c>
      <c r="E49" s="45">
        <f t="shared" si="21"/>
        <v>9407122.8822414503</v>
      </c>
      <c r="F49" s="45">
        <f t="shared" si="21"/>
        <v>8962184.9802324306</v>
      </c>
      <c r="G49" s="45">
        <f t="shared" si="21"/>
        <v>9373062.1407905184</v>
      </c>
      <c r="H49" s="45">
        <f t="shared" si="21"/>
        <v>10537395.023554688</v>
      </c>
      <c r="I49" s="45">
        <f t="shared" si="21"/>
        <v>12621599.111041369</v>
      </c>
      <c r="J49" s="45">
        <f t="shared" si="21"/>
        <v>13277604.913726106</v>
      </c>
      <c r="K49" s="45">
        <f t="shared" si="21"/>
        <v>13688635</v>
      </c>
      <c r="L49" s="45">
        <f t="shared" ref="L49" si="22">SUM(L11+L23+L25-L40)</f>
        <v>15590426</v>
      </c>
      <c r="M49" s="45">
        <f t="shared" ref="M49:N49" si="23">SUM(M11+M23+M25-M40)</f>
        <v>14971005</v>
      </c>
      <c r="N49" s="45">
        <f t="shared" si="23"/>
        <v>12661649</v>
      </c>
    </row>
    <row r="50" spans="1:14" s="433" customFormat="1" ht="6" customHeight="1" x14ac:dyDescent="0.2">
      <c r="A50" s="137"/>
      <c r="B50" s="145"/>
      <c r="C50" s="145"/>
      <c r="D50" s="145"/>
      <c r="E50" s="401"/>
      <c r="F50" s="401"/>
      <c r="G50" s="316"/>
      <c r="H50" s="316"/>
      <c r="I50" s="316"/>
      <c r="J50" s="316"/>
      <c r="K50" s="316"/>
      <c r="L50" s="316"/>
      <c r="M50" s="316"/>
      <c r="N50" s="316"/>
    </row>
    <row r="51" spans="1:14" s="120" customFormat="1" x14ac:dyDescent="0.2">
      <c r="A51" s="141"/>
      <c r="B51" s="18" t="s">
        <v>129</v>
      </c>
      <c r="C51" s="46" t="s">
        <v>128</v>
      </c>
      <c r="D51" s="381" t="s">
        <v>127</v>
      </c>
      <c r="E51" s="46" t="s">
        <v>113</v>
      </c>
      <c r="F51" s="21" t="s">
        <v>126</v>
      </c>
      <c r="G51" s="46" t="s">
        <v>125</v>
      </c>
      <c r="H51" s="20" t="s">
        <v>124</v>
      </c>
      <c r="I51" s="119" t="s">
        <v>194</v>
      </c>
      <c r="J51" s="77" t="s">
        <v>193</v>
      </c>
      <c r="K51" s="218" t="s">
        <v>249</v>
      </c>
      <c r="L51" s="351" t="str">
        <f>L2</f>
        <v>CY'2016</v>
      </c>
      <c r="M51" s="317" t="str">
        <f>M2</f>
        <v>CY'2017</v>
      </c>
      <c r="N51" s="351" t="str">
        <f>N2</f>
        <v>CY'2018</v>
      </c>
    </row>
    <row r="52" spans="1:14" x14ac:dyDescent="0.2">
      <c r="A52" s="149" t="s">
        <v>88</v>
      </c>
      <c r="B52" s="64" t="s">
        <v>136</v>
      </c>
      <c r="C52" s="127" t="s">
        <v>135</v>
      </c>
      <c r="D52" s="304" t="s">
        <v>134</v>
      </c>
      <c r="E52" s="127" t="s">
        <v>133</v>
      </c>
      <c r="F52" s="64" t="s">
        <v>132</v>
      </c>
      <c r="G52" s="127" t="s">
        <v>131</v>
      </c>
      <c r="H52" s="64" t="s">
        <v>130</v>
      </c>
      <c r="I52" s="128" t="s">
        <v>196</v>
      </c>
      <c r="J52" s="126" t="s">
        <v>195</v>
      </c>
      <c r="K52" s="219" t="s">
        <v>250</v>
      </c>
      <c r="L52" s="247" t="s">
        <v>258</v>
      </c>
      <c r="M52" s="219" t="s">
        <v>280</v>
      </c>
      <c r="N52" s="247" t="s">
        <v>288</v>
      </c>
    </row>
    <row r="53" spans="1:14" x14ac:dyDescent="0.2">
      <c r="A53" s="88" t="s">
        <v>61</v>
      </c>
      <c r="B53" s="27"/>
      <c r="C53" s="48"/>
      <c r="D53" s="88"/>
      <c r="E53" s="48"/>
      <c r="F53" s="27"/>
      <c r="G53" s="48"/>
      <c r="H53" s="27"/>
      <c r="I53" s="49"/>
      <c r="J53" s="27"/>
      <c r="K53" s="220"/>
      <c r="L53" s="352"/>
      <c r="M53" s="220"/>
      <c r="N53" s="352"/>
    </row>
    <row r="54" spans="1:14" x14ac:dyDescent="0.2">
      <c r="A54" s="69" t="s">
        <v>264</v>
      </c>
      <c r="B54" s="27"/>
      <c r="C54" s="48"/>
      <c r="D54" s="88"/>
      <c r="E54" s="48"/>
      <c r="F54" s="27"/>
      <c r="G54" s="48"/>
      <c r="H54" s="27">
        <v>0</v>
      </c>
      <c r="I54" s="49">
        <v>0</v>
      </c>
      <c r="J54" s="27">
        <v>0</v>
      </c>
      <c r="K54" s="220">
        <v>0</v>
      </c>
      <c r="L54" s="353">
        <f>L43</f>
        <v>195</v>
      </c>
      <c r="M54" s="318">
        <v>0</v>
      </c>
      <c r="N54" s="353">
        <v>0</v>
      </c>
    </row>
    <row r="55" spans="1:14" x14ac:dyDescent="0.2">
      <c r="A55" s="69" t="s">
        <v>62</v>
      </c>
      <c r="B55" s="32">
        <v>5445878</v>
      </c>
      <c r="C55" s="50">
        <v>5199469</v>
      </c>
      <c r="D55" s="89">
        <v>6481099</v>
      </c>
      <c r="E55" s="50">
        <v>6615633</v>
      </c>
      <c r="F55" s="32">
        <v>5968801</v>
      </c>
      <c r="G55" s="50">
        <v>6520380</v>
      </c>
      <c r="H55" s="32">
        <v>7494103</v>
      </c>
      <c r="I55" s="51">
        <v>7959406</v>
      </c>
      <c r="J55" s="35">
        <v>7778447</v>
      </c>
      <c r="K55" s="221">
        <v>8408856</v>
      </c>
      <c r="L55" s="330">
        <f>L44</f>
        <v>9669940</v>
      </c>
      <c r="M55" s="221">
        <v>8711001</v>
      </c>
      <c r="N55" s="330">
        <v>8318590</v>
      </c>
    </row>
    <row r="56" spans="1:14" x14ac:dyDescent="0.2">
      <c r="A56" s="69" t="s">
        <v>63</v>
      </c>
      <c r="B56" s="32">
        <v>2316316</v>
      </c>
      <c r="C56" s="50">
        <v>2195150</v>
      </c>
      <c r="D56" s="89">
        <v>2113970</v>
      </c>
      <c r="E56" s="50">
        <v>2791490</v>
      </c>
      <c r="F56" s="32">
        <v>876247</v>
      </c>
      <c r="G56" s="50">
        <v>945949</v>
      </c>
      <c r="H56" s="32">
        <v>1582578</v>
      </c>
      <c r="I56" s="51">
        <v>1778142</v>
      </c>
      <c r="J56" s="35">
        <v>1754284</v>
      </c>
      <c r="K56" s="221">
        <v>1712544</v>
      </c>
      <c r="L56" s="330">
        <f>L45</f>
        <v>2218808</v>
      </c>
      <c r="M56" s="221">
        <v>2336321</v>
      </c>
      <c r="N56" s="330">
        <v>1622852</v>
      </c>
    </row>
    <row r="57" spans="1:14" x14ac:dyDescent="0.2">
      <c r="A57" s="69" t="s">
        <v>64</v>
      </c>
      <c r="B57" s="35">
        <v>0</v>
      </c>
      <c r="C57" s="50">
        <v>0</v>
      </c>
      <c r="D57" s="306">
        <v>0</v>
      </c>
      <c r="E57" s="50">
        <v>0</v>
      </c>
      <c r="F57" s="32">
        <v>2117137</v>
      </c>
      <c r="G57" s="50">
        <v>1906733</v>
      </c>
      <c r="H57" s="32">
        <v>1460714</v>
      </c>
      <c r="I57" s="51">
        <v>2884051</v>
      </c>
      <c r="J57" s="35">
        <v>3744874</v>
      </c>
      <c r="K57" s="221">
        <v>3567235</v>
      </c>
      <c r="L57" s="330">
        <f>L46</f>
        <v>3701483</v>
      </c>
      <c r="M57" s="221">
        <v>3923683</v>
      </c>
      <c r="N57" s="330">
        <v>2720207</v>
      </c>
    </row>
    <row r="58" spans="1:14" x14ac:dyDescent="0.2">
      <c r="A58" s="69" t="s">
        <v>65</v>
      </c>
      <c r="B58" s="35">
        <f t="shared" ref="B58:I58" si="24">SUM(B53:B57)</f>
        <v>7762194</v>
      </c>
      <c r="C58" s="50">
        <f t="shared" si="24"/>
        <v>7394619</v>
      </c>
      <c r="D58" s="306">
        <f t="shared" si="24"/>
        <v>8595069</v>
      </c>
      <c r="E58" s="50">
        <f t="shared" si="24"/>
        <v>9407123</v>
      </c>
      <c r="F58" s="35">
        <f t="shared" si="24"/>
        <v>8962185</v>
      </c>
      <c r="G58" s="50">
        <f t="shared" si="24"/>
        <v>9373062</v>
      </c>
      <c r="H58" s="35">
        <f t="shared" si="24"/>
        <v>10537395</v>
      </c>
      <c r="I58" s="51">
        <f t="shared" si="24"/>
        <v>12621599</v>
      </c>
      <c r="J58" s="35">
        <f>SUM(J53:J57)</f>
        <v>13277605</v>
      </c>
      <c r="K58" s="221">
        <f>SUM(K55:K57)</f>
        <v>13688635</v>
      </c>
      <c r="L58" s="330">
        <f>SUM(L55:L57)</f>
        <v>15590231</v>
      </c>
      <c r="M58" s="221">
        <f>SUM(M55:M57)</f>
        <v>14971005</v>
      </c>
      <c r="N58" s="330">
        <f>SUM(N55:N57)</f>
        <v>12661649</v>
      </c>
    </row>
    <row r="59" spans="1:14" x14ac:dyDescent="0.2">
      <c r="A59" s="69" t="s">
        <v>66</v>
      </c>
      <c r="B59" s="32">
        <v>2116</v>
      </c>
      <c r="C59" s="50">
        <v>29562</v>
      </c>
      <c r="D59" s="89">
        <v>32352</v>
      </c>
      <c r="E59" s="50">
        <v>-73365</v>
      </c>
      <c r="F59" s="299">
        <v>11378</v>
      </c>
      <c r="G59" s="300">
        <v>0</v>
      </c>
      <c r="H59" s="301">
        <v>27271</v>
      </c>
      <c r="I59" s="302">
        <v>1528</v>
      </c>
      <c r="J59" s="301">
        <v>-9226</v>
      </c>
      <c r="K59" s="303">
        <f>-1488</f>
        <v>-1488</v>
      </c>
      <c r="L59" s="354">
        <v>-3311</v>
      </c>
      <c r="M59" s="303">
        <v>258872</v>
      </c>
      <c r="N59" s="354">
        <v>-298</v>
      </c>
    </row>
    <row r="60" spans="1:14" x14ac:dyDescent="0.2">
      <c r="A60" s="68" t="s">
        <v>67</v>
      </c>
      <c r="B60" s="52">
        <f>SUM(B58:B59)</f>
        <v>7764310</v>
      </c>
      <c r="C60" s="53">
        <f t="shared" ref="C60:I60" si="25">SUM(C58:C59)</f>
        <v>7424181</v>
      </c>
      <c r="D60" s="143">
        <f t="shared" si="25"/>
        <v>8627421</v>
      </c>
      <c r="E60" s="53">
        <f t="shared" si="25"/>
        <v>9333758</v>
      </c>
      <c r="F60" s="36">
        <f t="shared" si="25"/>
        <v>8973563</v>
      </c>
      <c r="G60" s="53">
        <f t="shared" si="25"/>
        <v>9373062</v>
      </c>
      <c r="H60" s="36">
        <f t="shared" si="25"/>
        <v>10564666</v>
      </c>
      <c r="I60" s="54">
        <f t="shared" si="25"/>
        <v>12623127</v>
      </c>
      <c r="J60" s="36">
        <f>SUM(J58:J59)</f>
        <v>13268379</v>
      </c>
      <c r="K60" s="223">
        <f>SUM(K58:K59)</f>
        <v>13687147</v>
      </c>
      <c r="L60" s="355">
        <f>SUM(L58:L59)</f>
        <v>15586920</v>
      </c>
      <c r="M60" s="223">
        <f>SUM(M58:M59)</f>
        <v>15229877</v>
      </c>
      <c r="N60" s="355">
        <f>SUM(N58:N59)</f>
        <v>12661351</v>
      </c>
    </row>
    <row r="61" spans="1:14" ht="10.9" customHeight="1" x14ac:dyDescent="0.2">
      <c r="A61" s="132" t="s">
        <v>188</v>
      </c>
      <c r="B61" s="40"/>
      <c r="C61" s="40">
        <f t="shared" ref="C61:I61" si="26">(C60-B60)/B60</f>
        <v>-4.3806725903525232E-2</v>
      </c>
      <c r="D61" s="132">
        <f t="shared" si="26"/>
        <v>0.16207040210900031</v>
      </c>
      <c r="E61" s="40">
        <f t="shared" si="26"/>
        <v>8.1871164047749606E-2</v>
      </c>
      <c r="F61" s="40">
        <f t="shared" si="26"/>
        <v>-3.8590565557838546E-2</v>
      </c>
      <c r="G61" s="40">
        <f t="shared" si="26"/>
        <v>4.4519551486962315E-2</v>
      </c>
      <c r="H61" s="40">
        <f t="shared" si="26"/>
        <v>0.12713070712644384</v>
      </c>
      <c r="I61" s="40">
        <f t="shared" si="26"/>
        <v>0.19484392596983188</v>
      </c>
      <c r="J61" s="40">
        <f>(J60-I60)/I60</f>
        <v>5.1116652791340846E-2</v>
      </c>
      <c r="K61" s="224">
        <f>(K60-J60)/J60</f>
        <v>3.1561353500680074E-2</v>
      </c>
      <c r="L61" s="224">
        <f>(L60-K60)/K60</f>
        <v>0.1387997805532446</v>
      </c>
      <c r="M61" s="224">
        <f>(M60-L60)/L60</f>
        <v>-2.2906578079569279E-2</v>
      </c>
      <c r="N61" s="224">
        <f>(N60-M60)/M60</f>
        <v>-0.1686504756407422</v>
      </c>
    </row>
    <row r="62" spans="1:14" x14ac:dyDescent="0.2">
      <c r="A62" s="88" t="s">
        <v>68</v>
      </c>
      <c r="B62" s="41"/>
      <c r="C62" s="47"/>
      <c r="D62" s="91"/>
      <c r="E62" s="48"/>
      <c r="F62" s="27"/>
      <c r="G62" s="58"/>
      <c r="H62" s="59"/>
      <c r="I62" s="58"/>
      <c r="J62" s="27"/>
      <c r="K62" s="225"/>
      <c r="L62" s="356"/>
      <c r="M62" s="225"/>
      <c r="N62" s="356"/>
    </row>
    <row r="63" spans="1:14" x14ac:dyDescent="0.2">
      <c r="A63" s="69" t="s">
        <v>69</v>
      </c>
      <c r="B63" s="32">
        <v>0</v>
      </c>
      <c r="C63" s="50">
        <v>0</v>
      </c>
      <c r="D63" s="89">
        <v>0</v>
      </c>
      <c r="E63" s="56">
        <v>0</v>
      </c>
      <c r="F63" s="44">
        <v>0</v>
      </c>
      <c r="G63" s="50">
        <v>0</v>
      </c>
      <c r="H63" s="57">
        <v>0</v>
      </c>
      <c r="I63" s="51">
        <v>0</v>
      </c>
      <c r="J63" s="35">
        <v>0</v>
      </c>
      <c r="K63" s="222">
        <v>0</v>
      </c>
      <c r="L63" s="331">
        <v>0</v>
      </c>
      <c r="M63" s="222">
        <v>0</v>
      </c>
      <c r="N63" s="331">
        <v>0</v>
      </c>
    </row>
    <row r="64" spans="1:14" x14ac:dyDescent="0.2">
      <c r="A64" s="69" t="s">
        <v>70</v>
      </c>
      <c r="B64" s="32">
        <v>0</v>
      </c>
      <c r="C64" s="50">
        <v>0</v>
      </c>
      <c r="D64" s="89">
        <v>0</v>
      </c>
      <c r="E64" s="56">
        <v>0</v>
      </c>
      <c r="F64" s="44">
        <v>0</v>
      </c>
      <c r="G64" s="50">
        <v>0</v>
      </c>
      <c r="H64" s="57">
        <v>0</v>
      </c>
      <c r="I64" s="51">
        <v>0</v>
      </c>
      <c r="J64" s="35">
        <v>0</v>
      </c>
      <c r="K64" s="222">
        <v>0</v>
      </c>
      <c r="L64" s="331">
        <v>0</v>
      </c>
      <c r="M64" s="222">
        <v>0</v>
      </c>
      <c r="N64" s="331">
        <v>0</v>
      </c>
    </row>
    <row r="65" spans="1:14" x14ac:dyDescent="0.2">
      <c r="A65" s="69" t="s">
        <v>71</v>
      </c>
      <c r="B65" s="32">
        <v>0</v>
      </c>
      <c r="C65" s="50">
        <v>0</v>
      </c>
      <c r="D65" s="89">
        <v>0</v>
      </c>
      <c r="E65" s="56">
        <v>0</v>
      </c>
      <c r="F65" s="44">
        <v>0</v>
      </c>
      <c r="G65" s="50">
        <v>0</v>
      </c>
      <c r="H65" s="57">
        <v>0</v>
      </c>
      <c r="I65" s="51">
        <v>0</v>
      </c>
      <c r="J65" s="35">
        <v>0</v>
      </c>
      <c r="K65" s="222">
        <v>0</v>
      </c>
      <c r="L65" s="331">
        <v>0</v>
      </c>
      <c r="M65" s="222">
        <v>0</v>
      </c>
      <c r="N65" s="331">
        <v>0</v>
      </c>
    </row>
    <row r="66" spans="1:14" x14ac:dyDescent="0.2">
      <c r="A66" s="69" t="s">
        <v>72</v>
      </c>
      <c r="B66" s="32">
        <v>0</v>
      </c>
      <c r="C66" s="50">
        <v>0</v>
      </c>
      <c r="D66" s="89">
        <v>0</v>
      </c>
      <c r="E66" s="56">
        <v>0</v>
      </c>
      <c r="F66" s="44">
        <v>0</v>
      </c>
      <c r="G66" s="50">
        <v>0</v>
      </c>
      <c r="H66" s="57">
        <v>0</v>
      </c>
      <c r="I66" s="51">
        <v>0</v>
      </c>
      <c r="J66" s="35">
        <v>0</v>
      </c>
      <c r="K66" s="222">
        <v>0</v>
      </c>
      <c r="L66" s="331">
        <v>0</v>
      </c>
      <c r="M66" s="222">
        <v>0</v>
      </c>
      <c r="N66" s="331">
        <v>0</v>
      </c>
    </row>
    <row r="67" spans="1:14" x14ac:dyDescent="0.2">
      <c r="A67" s="69" t="s">
        <v>73</v>
      </c>
      <c r="B67" s="32">
        <v>0</v>
      </c>
      <c r="C67" s="50">
        <v>0</v>
      </c>
      <c r="D67" s="89">
        <v>0</v>
      </c>
      <c r="E67" s="56">
        <v>0</v>
      </c>
      <c r="F67" s="44">
        <v>0</v>
      </c>
      <c r="G67" s="50">
        <v>0</v>
      </c>
      <c r="H67" s="57">
        <v>0</v>
      </c>
      <c r="I67" s="51">
        <v>0</v>
      </c>
      <c r="J67" s="35">
        <v>0</v>
      </c>
      <c r="K67" s="222">
        <v>0</v>
      </c>
      <c r="L67" s="331">
        <v>0</v>
      </c>
      <c r="M67" s="222">
        <v>0</v>
      </c>
      <c r="N67" s="331">
        <v>0</v>
      </c>
    </row>
    <row r="68" spans="1:14" x14ac:dyDescent="0.2">
      <c r="A68" s="69" t="s">
        <v>74</v>
      </c>
      <c r="B68" s="32">
        <v>0</v>
      </c>
      <c r="C68" s="50">
        <v>0</v>
      </c>
      <c r="D68" s="89">
        <v>0</v>
      </c>
      <c r="E68" s="56">
        <v>0</v>
      </c>
      <c r="F68" s="44">
        <v>0</v>
      </c>
      <c r="G68" s="50">
        <v>0</v>
      </c>
      <c r="H68" s="57">
        <v>0</v>
      </c>
      <c r="I68" s="51">
        <v>0</v>
      </c>
      <c r="J68" s="35">
        <v>0</v>
      </c>
      <c r="K68" s="222">
        <v>0</v>
      </c>
      <c r="L68" s="331">
        <v>0</v>
      </c>
      <c r="M68" s="222">
        <v>0</v>
      </c>
      <c r="N68" s="331">
        <v>0</v>
      </c>
    </row>
    <row r="69" spans="1:14" x14ac:dyDescent="0.2">
      <c r="A69" s="72" t="s">
        <v>75</v>
      </c>
      <c r="B69" s="32">
        <f>SUM(B63:B68)</f>
        <v>0</v>
      </c>
      <c r="C69" s="50">
        <f t="shared" ref="C69:K69" si="27">SUM(C63:C68)</f>
        <v>0</v>
      </c>
      <c r="D69" s="306">
        <f t="shared" si="27"/>
        <v>0</v>
      </c>
      <c r="E69" s="50">
        <f t="shared" si="27"/>
        <v>0</v>
      </c>
      <c r="F69" s="35">
        <f t="shared" si="27"/>
        <v>0</v>
      </c>
      <c r="G69" s="50">
        <f t="shared" si="27"/>
        <v>0</v>
      </c>
      <c r="H69" s="35">
        <f t="shared" si="27"/>
        <v>0</v>
      </c>
      <c r="I69" s="51">
        <f t="shared" si="27"/>
        <v>0</v>
      </c>
      <c r="J69" s="35">
        <f t="shared" si="27"/>
        <v>0</v>
      </c>
      <c r="K69" s="222">
        <f t="shared" si="27"/>
        <v>0</v>
      </c>
      <c r="L69" s="331">
        <f t="shared" ref="L69:N69" si="28">SUM(L63:L68)</f>
        <v>0</v>
      </c>
      <c r="M69" s="222">
        <f t="shared" si="28"/>
        <v>0</v>
      </c>
      <c r="N69" s="331">
        <f t="shared" si="28"/>
        <v>0</v>
      </c>
    </row>
    <row r="70" spans="1:14" ht="10.9" customHeight="1" x14ac:dyDescent="0.2">
      <c r="A70" s="132" t="s">
        <v>188</v>
      </c>
      <c r="B70" s="40">
        <v>0</v>
      </c>
      <c r="C70" s="40">
        <v>0</v>
      </c>
      <c r="D70" s="132">
        <v>0</v>
      </c>
      <c r="E70" s="40">
        <v>0</v>
      </c>
      <c r="F70" s="40">
        <v>0</v>
      </c>
      <c r="G70" s="40">
        <v>0</v>
      </c>
      <c r="H70" s="40">
        <v>0</v>
      </c>
      <c r="I70" s="40">
        <v>0</v>
      </c>
      <c r="J70" s="40">
        <v>0</v>
      </c>
      <c r="K70" s="224">
        <v>0</v>
      </c>
      <c r="L70" s="224">
        <v>0</v>
      </c>
      <c r="M70" s="224">
        <v>1</v>
      </c>
      <c r="N70" s="224">
        <v>1</v>
      </c>
    </row>
    <row r="71" spans="1:14" x14ac:dyDescent="0.2">
      <c r="A71" s="69" t="s">
        <v>76</v>
      </c>
      <c r="B71" s="32">
        <v>3481</v>
      </c>
      <c r="C71" s="50">
        <v>12554</v>
      </c>
      <c r="D71" s="89">
        <v>6959</v>
      </c>
      <c r="E71" s="50">
        <v>12395</v>
      </c>
      <c r="F71" s="44">
        <v>4221</v>
      </c>
      <c r="G71" s="50">
        <v>2209</v>
      </c>
      <c r="H71" s="35">
        <v>1096</v>
      </c>
      <c r="I71" s="51">
        <v>32022</v>
      </c>
      <c r="J71" s="34">
        <v>103683</v>
      </c>
      <c r="K71" s="226">
        <v>35539</v>
      </c>
      <c r="L71" s="357">
        <v>42551</v>
      </c>
      <c r="M71" s="226">
        <v>68064</v>
      </c>
      <c r="N71" s="357">
        <v>208064</v>
      </c>
    </row>
    <row r="72" spans="1:14" x14ac:dyDescent="0.2">
      <c r="A72" s="68" t="s">
        <v>77</v>
      </c>
      <c r="B72" s="52">
        <f t="shared" ref="B72:I72" si="29">SUM(B69:B71)</f>
        <v>3481</v>
      </c>
      <c r="C72" s="53">
        <f t="shared" si="29"/>
        <v>12554</v>
      </c>
      <c r="D72" s="143">
        <f t="shared" si="29"/>
        <v>6959</v>
      </c>
      <c r="E72" s="53">
        <f t="shared" si="29"/>
        <v>12395</v>
      </c>
      <c r="F72" s="36">
        <f t="shared" si="29"/>
        <v>4221</v>
      </c>
      <c r="G72" s="53">
        <f t="shared" si="29"/>
        <v>2209</v>
      </c>
      <c r="H72" s="36">
        <f t="shared" si="29"/>
        <v>1096</v>
      </c>
      <c r="I72" s="54">
        <f t="shared" si="29"/>
        <v>32022</v>
      </c>
      <c r="J72" s="36">
        <f>SUM(J69+J71)</f>
        <v>103683</v>
      </c>
      <c r="K72" s="226">
        <f>SUM(K71)</f>
        <v>35539</v>
      </c>
      <c r="L72" s="357">
        <f>SUM(L71)</f>
        <v>42551</v>
      </c>
      <c r="M72" s="226">
        <f>SUM(M71)</f>
        <v>68064</v>
      </c>
      <c r="N72" s="357">
        <f>SUM(N71)</f>
        <v>208064</v>
      </c>
    </row>
    <row r="73" spans="1:14" ht="10.9" customHeight="1" x14ac:dyDescent="0.2">
      <c r="A73" s="132" t="s">
        <v>188</v>
      </c>
      <c r="B73" s="40"/>
      <c r="C73" s="40">
        <f t="shared" ref="C73:I73" si="30">(C72-B72)/B72</f>
        <v>2.6064349324906635</v>
      </c>
      <c r="D73" s="132">
        <f t="shared" si="30"/>
        <v>-0.44567468535924804</v>
      </c>
      <c r="E73" s="40">
        <f t="shared" si="30"/>
        <v>0.7811467164822532</v>
      </c>
      <c r="F73" s="40">
        <f t="shared" si="30"/>
        <v>-0.6594594594594595</v>
      </c>
      <c r="G73" s="40">
        <f t="shared" si="30"/>
        <v>-0.47666429755981993</v>
      </c>
      <c r="H73" s="40">
        <f t="shared" si="30"/>
        <v>-0.50384789497510185</v>
      </c>
      <c r="I73" s="40">
        <f t="shared" si="30"/>
        <v>28.217153284671532</v>
      </c>
      <c r="J73" s="40">
        <f>(J72-I72)/I72</f>
        <v>2.2378677159452876</v>
      </c>
      <c r="K73" s="224">
        <f>(K72-J72)/J72</f>
        <v>-0.65723406923024985</v>
      </c>
      <c r="L73" s="224">
        <f>(L72-K72)/K72</f>
        <v>0.19730436984721011</v>
      </c>
      <c r="M73" s="224">
        <f>(M72-L72)/L72</f>
        <v>0.59958637869850295</v>
      </c>
      <c r="N73" s="224">
        <f>(N72-M72)/M72</f>
        <v>2.0568876351669019</v>
      </c>
    </row>
    <row r="74" spans="1:14" x14ac:dyDescent="0.2">
      <c r="A74" s="69" t="s">
        <v>55</v>
      </c>
      <c r="B74" s="32">
        <v>-8558</v>
      </c>
      <c r="C74" s="50">
        <v>14643</v>
      </c>
      <c r="D74" s="89">
        <v>94824</v>
      </c>
      <c r="E74" s="50">
        <v>38711</v>
      </c>
      <c r="F74" s="32">
        <v>59466</v>
      </c>
      <c r="G74" s="50">
        <v>9437</v>
      </c>
      <c r="H74" s="32">
        <v>5143</v>
      </c>
      <c r="I74" s="51">
        <v>45520</v>
      </c>
      <c r="J74" s="34">
        <v>22015</v>
      </c>
      <c r="K74" s="221">
        <v>-4359</v>
      </c>
      <c r="L74" s="358">
        <v>-27422</v>
      </c>
      <c r="M74" s="319">
        <v>-54656</v>
      </c>
      <c r="N74" s="358">
        <v>53838</v>
      </c>
    </row>
    <row r="75" spans="1:14" x14ac:dyDescent="0.2">
      <c r="A75" s="88" t="s">
        <v>78</v>
      </c>
      <c r="B75" s="41"/>
      <c r="C75" s="47"/>
      <c r="D75" s="91"/>
      <c r="E75" s="48"/>
      <c r="F75" s="41"/>
      <c r="G75" s="47"/>
      <c r="H75" s="41"/>
      <c r="I75" s="58"/>
      <c r="J75" s="27"/>
      <c r="K75" s="227"/>
      <c r="L75" s="359"/>
      <c r="M75" s="227"/>
      <c r="N75" s="359"/>
    </row>
    <row r="76" spans="1:14" x14ac:dyDescent="0.2">
      <c r="A76" s="69" t="s">
        <v>355</v>
      </c>
      <c r="B76" s="32">
        <v>2766</v>
      </c>
      <c r="C76" s="50">
        <v>372</v>
      </c>
      <c r="D76" s="89">
        <v>40</v>
      </c>
      <c r="E76" s="50">
        <v>1654</v>
      </c>
      <c r="F76" s="32">
        <v>646</v>
      </c>
      <c r="G76" s="50">
        <v>1832</v>
      </c>
      <c r="H76" s="32">
        <v>2201</v>
      </c>
      <c r="I76" s="51">
        <v>-153</v>
      </c>
      <c r="J76" s="34">
        <v>665</v>
      </c>
      <c r="K76" s="222">
        <f>1629</f>
        <v>1629</v>
      </c>
      <c r="L76" s="331">
        <v>68</v>
      </c>
      <c r="M76" s="222">
        <v>40</v>
      </c>
      <c r="N76" s="331">
        <v>-242</v>
      </c>
    </row>
    <row r="77" spans="1:14" x14ac:dyDescent="0.2">
      <c r="A77" s="69" t="s">
        <v>357</v>
      </c>
      <c r="B77" s="32">
        <v>1558987</v>
      </c>
      <c r="C77" s="50">
        <v>1561202</v>
      </c>
      <c r="D77" s="89">
        <v>1395760</v>
      </c>
      <c r="E77" s="50">
        <v>1467155</v>
      </c>
      <c r="F77" s="32">
        <v>1356725</v>
      </c>
      <c r="G77" s="50">
        <v>1333258</v>
      </c>
      <c r="H77" s="32">
        <v>1293193</v>
      </c>
      <c r="I77" s="51">
        <v>1483975</v>
      </c>
      <c r="J77" s="34">
        <v>1364734</v>
      </c>
      <c r="K77" s="222">
        <v>1525590</v>
      </c>
      <c r="L77" s="331">
        <v>1489669</v>
      </c>
      <c r="M77" s="222">
        <v>1511992</v>
      </c>
      <c r="N77" s="331">
        <v>1499001</v>
      </c>
    </row>
    <row r="78" spans="1:14" x14ac:dyDescent="0.2">
      <c r="A78" s="69" t="s">
        <v>358</v>
      </c>
      <c r="B78" s="32">
        <v>436319</v>
      </c>
      <c r="C78" s="50">
        <v>120141</v>
      </c>
      <c r="D78" s="89">
        <v>186940</v>
      </c>
      <c r="E78" s="50">
        <v>314049</v>
      </c>
      <c r="F78" s="32">
        <v>262482</v>
      </c>
      <c r="G78" s="50">
        <v>167871</v>
      </c>
      <c r="H78" s="32">
        <v>251170</v>
      </c>
      <c r="I78" s="51">
        <v>213148</v>
      </c>
      <c r="J78" s="34">
        <v>361622</v>
      </c>
      <c r="K78" s="222">
        <v>192428</v>
      </c>
      <c r="L78" s="331">
        <f>112126+165337</f>
        <v>277463</v>
      </c>
      <c r="M78" s="222">
        <v>362957</v>
      </c>
      <c r="N78" s="331">
        <v>355609</v>
      </c>
    </row>
    <row r="79" spans="1:14" x14ac:dyDescent="0.2">
      <c r="A79" s="69" t="s">
        <v>79</v>
      </c>
      <c r="B79" s="32">
        <v>15082</v>
      </c>
      <c r="C79" s="50">
        <v>17130</v>
      </c>
      <c r="D79" s="89">
        <v>14576</v>
      </c>
      <c r="E79" s="50">
        <v>13120</v>
      </c>
      <c r="F79" s="32">
        <v>13212</v>
      </c>
      <c r="G79" s="50">
        <v>11889</v>
      </c>
      <c r="H79" s="32">
        <v>23478</v>
      </c>
      <c r="I79" s="51">
        <v>18998</v>
      </c>
      <c r="J79" s="34">
        <v>120256</v>
      </c>
      <c r="K79" s="222">
        <v>301413</v>
      </c>
      <c r="L79" s="331">
        <v>203406</v>
      </c>
      <c r="M79" s="222">
        <v>16696</v>
      </c>
      <c r="N79" s="331">
        <v>31295</v>
      </c>
    </row>
    <row r="80" spans="1:14" x14ac:dyDescent="0.2">
      <c r="A80" s="68" t="s">
        <v>80</v>
      </c>
      <c r="B80" s="52">
        <f>SUM(B76:B79)</f>
        <v>2013154</v>
      </c>
      <c r="C80" s="53">
        <f t="shared" ref="C80:J80" si="31">SUM(C76:C79)</f>
        <v>1698845</v>
      </c>
      <c r="D80" s="143">
        <f t="shared" si="31"/>
        <v>1597316</v>
      </c>
      <c r="E80" s="53">
        <f t="shared" si="31"/>
        <v>1795978</v>
      </c>
      <c r="F80" s="36">
        <f t="shared" si="31"/>
        <v>1633065</v>
      </c>
      <c r="G80" s="53">
        <f t="shared" si="31"/>
        <v>1514850</v>
      </c>
      <c r="H80" s="36">
        <f t="shared" si="31"/>
        <v>1570042</v>
      </c>
      <c r="I80" s="54">
        <f t="shared" si="31"/>
        <v>1715968</v>
      </c>
      <c r="J80" s="36">
        <f t="shared" si="31"/>
        <v>1847277</v>
      </c>
      <c r="K80" s="229">
        <f>SUM(K76:K79)</f>
        <v>2021060</v>
      </c>
      <c r="L80" s="331">
        <f>SUM(L76:L79)</f>
        <v>1970606</v>
      </c>
      <c r="M80" s="222">
        <f>SUM(M76:M79)</f>
        <v>1891685</v>
      </c>
      <c r="N80" s="331">
        <f>SUM(N76:N79)</f>
        <v>1885663</v>
      </c>
    </row>
    <row r="81" spans="1:14" ht="10.15" customHeight="1" x14ac:dyDescent="0.2">
      <c r="A81" s="132" t="s">
        <v>188</v>
      </c>
      <c r="B81" s="40"/>
      <c r="C81" s="40">
        <f t="shared" ref="C81:I81" si="32">(C80-B80)/B80</f>
        <v>-0.15612764845610419</v>
      </c>
      <c r="D81" s="132">
        <f t="shared" si="32"/>
        <v>-5.9763545232201877E-2</v>
      </c>
      <c r="E81" s="40">
        <f t="shared" si="32"/>
        <v>0.12437238467529281</v>
      </c>
      <c r="F81" s="40">
        <f t="shared" si="32"/>
        <v>-9.0709908473266376E-2</v>
      </c>
      <c r="G81" s="40">
        <f t="shared" si="32"/>
        <v>-7.2388422996022814E-2</v>
      </c>
      <c r="H81" s="40">
        <f t="shared" si="32"/>
        <v>3.643397036010166E-2</v>
      </c>
      <c r="I81" s="40">
        <f t="shared" si="32"/>
        <v>9.2944010415008008E-2</v>
      </c>
      <c r="J81" s="40">
        <f>(J80-I80)/I80</f>
        <v>7.652182325078323E-2</v>
      </c>
      <c r="K81" s="224">
        <f>(K80-J80)/J80</f>
        <v>9.4075225318130409E-2</v>
      </c>
      <c r="L81" s="224">
        <f>(L80-K80)/K80</f>
        <v>-2.4964127734950967E-2</v>
      </c>
      <c r="M81" s="224">
        <f>(M80-L80)/L80</f>
        <v>-4.0049101646904554E-2</v>
      </c>
      <c r="N81" s="224">
        <f>(N80-M80)/M80</f>
        <v>-3.1834052709621315E-3</v>
      </c>
    </row>
    <row r="82" spans="1:14" x14ac:dyDescent="0.2">
      <c r="A82" s="69" t="s">
        <v>81</v>
      </c>
      <c r="B82" s="32">
        <v>6884</v>
      </c>
      <c r="C82" s="50">
        <v>269</v>
      </c>
      <c r="D82" s="89">
        <v>1210</v>
      </c>
      <c r="E82" s="50">
        <v>-336</v>
      </c>
      <c r="F82" s="32">
        <v>800</v>
      </c>
      <c r="G82" s="50">
        <v>607</v>
      </c>
      <c r="H82" s="35">
        <v>658</v>
      </c>
      <c r="I82" s="51">
        <v>0</v>
      </c>
      <c r="J82" s="34">
        <v>0</v>
      </c>
      <c r="K82" s="287">
        <v>-168</v>
      </c>
      <c r="L82" s="331">
        <v>0</v>
      </c>
      <c r="M82" s="222">
        <v>4</v>
      </c>
      <c r="N82" s="331">
        <v>843</v>
      </c>
    </row>
    <row r="83" spans="1:14" x14ac:dyDescent="0.2">
      <c r="A83" s="69" t="s">
        <v>82</v>
      </c>
      <c r="B83" s="32">
        <v>413711</v>
      </c>
      <c r="C83" s="50">
        <v>492324</v>
      </c>
      <c r="D83" s="89">
        <v>561168</v>
      </c>
      <c r="E83" s="50">
        <v>579127</v>
      </c>
      <c r="F83" s="32">
        <v>334137</v>
      </c>
      <c r="G83" s="50">
        <v>523588</v>
      </c>
      <c r="H83" s="35">
        <v>512541</v>
      </c>
      <c r="I83" s="51">
        <v>653904</v>
      </c>
      <c r="J83" s="34">
        <v>550764</v>
      </c>
      <c r="K83" s="222">
        <v>741856</v>
      </c>
      <c r="L83" s="331">
        <v>625052</v>
      </c>
      <c r="M83" s="222">
        <v>897995</v>
      </c>
      <c r="N83" s="331">
        <v>843575</v>
      </c>
    </row>
    <row r="84" spans="1:14" x14ac:dyDescent="0.2">
      <c r="A84" s="69" t="s">
        <v>367</v>
      </c>
      <c r="B84" s="32"/>
      <c r="C84" s="50"/>
      <c r="D84" s="89"/>
      <c r="E84" s="50">
        <v>0</v>
      </c>
      <c r="F84" s="32">
        <v>456160</v>
      </c>
      <c r="G84" s="50">
        <v>188022</v>
      </c>
      <c r="H84" s="35">
        <v>197820</v>
      </c>
      <c r="I84" s="51">
        <v>208785</v>
      </c>
      <c r="J84" s="34">
        <v>197944</v>
      </c>
      <c r="K84" s="222">
        <v>222440</v>
      </c>
      <c r="L84" s="331">
        <v>215420</v>
      </c>
      <c r="M84" s="222">
        <v>218003</v>
      </c>
      <c r="N84" s="331">
        <v>151069</v>
      </c>
    </row>
    <row r="85" spans="1:14" x14ac:dyDescent="0.2">
      <c r="A85" s="68" t="s">
        <v>83</v>
      </c>
      <c r="B85" s="32">
        <f>SUM(B82:B83)</f>
        <v>420595</v>
      </c>
      <c r="C85" s="50">
        <f t="shared" ref="C85:D85" si="33">SUM(C82:C83)</f>
        <v>492593</v>
      </c>
      <c r="D85" s="306">
        <f t="shared" si="33"/>
        <v>562378</v>
      </c>
      <c r="E85" s="50">
        <f t="shared" ref="E85:N85" si="34">SUM(E82:E84)</f>
        <v>578791</v>
      </c>
      <c r="F85" s="35">
        <f t="shared" si="34"/>
        <v>791097</v>
      </c>
      <c r="G85" s="51">
        <f t="shared" si="34"/>
        <v>712217</v>
      </c>
      <c r="H85" s="34">
        <f t="shared" si="34"/>
        <v>711019</v>
      </c>
      <c r="I85" s="51">
        <f t="shared" si="34"/>
        <v>862689</v>
      </c>
      <c r="J85" s="35">
        <f t="shared" si="34"/>
        <v>748708</v>
      </c>
      <c r="K85" s="222">
        <f t="shared" si="34"/>
        <v>964128</v>
      </c>
      <c r="L85" s="331">
        <f t="shared" si="34"/>
        <v>840472</v>
      </c>
      <c r="M85" s="222">
        <f t="shared" si="34"/>
        <v>1116002</v>
      </c>
      <c r="N85" s="331">
        <f t="shared" si="34"/>
        <v>995487</v>
      </c>
    </row>
    <row r="86" spans="1:14" customFormat="1" ht="10.15" customHeight="1" x14ac:dyDescent="0.2">
      <c r="A86" s="132" t="s">
        <v>188</v>
      </c>
      <c r="B86" s="40"/>
      <c r="C86" s="40">
        <f t="shared" ref="C86:J86" si="35">(C85-B85)/B85</f>
        <v>0.17118130267834852</v>
      </c>
      <c r="D86" s="132">
        <f t="shared" si="35"/>
        <v>0.14166867982289638</v>
      </c>
      <c r="E86" s="40">
        <f t="shared" si="35"/>
        <v>2.9184996568144557E-2</v>
      </c>
      <c r="F86" s="40">
        <f t="shared" si="35"/>
        <v>0.36680943553026912</v>
      </c>
      <c r="G86" s="40">
        <f t="shared" si="35"/>
        <v>-9.9709643697296291E-2</v>
      </c>
      <c r="H86" s="40">
        <f t="shared" si="35"/>
        <v>-1.6820716158137197E-3</v>
      </c>
      <c r="I86" s="40">
        <f t="shared" si="35"/>
        <v>0.21331356827314038</v>
      </c>
      <c r="J86" s="40">
        <f t="shared" si="35"/>
        <v>-0.13212293190245847</v>
      </c>
      <c r="K86" s="224">
        <f>(K85-J85)/J85</f>
        <v>0.28772231631023043</v>
      </c>
      <c r="L86" s="224">
        <f>(L85-K85)/K85</f>
        <v>-0.12825682896876764</v>
      </c>
      <c r="M86" s="224">
        <f>(M85-L85)/L85</f>
        <v>0.32782769681797846</v>
      </c>
      <c r="N86" s="224">
        <f>(N85-M85)/M85</f>
        <v>-0.1079881577273159</v>
      </c>
    </row>
    <row r="87" spans="1:14" x14ac:dyDescent="0.2">
      <c r="A87" s="68" t="s">
        <v>26</v>
      </c>
      <c r="B87" s="52">
        <f>SUM(B85,B80)</f>
        <v>2433749</v>
      </c>
      <c r="C87" s="53">
        <f t="shared" ref="C87:J87" si="36">SUM(C85,C80)</f>
        <v>2191438</v>
      </c>
      <c r="D87" s="143">
        <f t="shared" si="36"/>
        <v>2159694</v>
      </c>
      <c r="E87" s="53">
        <f>SUM(E85,E80)</f>
        <v>2374769</v>
      </c>
      <c r="F87" s="36">
        <f t="shared" si="36"/>
        <v>2424162</v>
      </c>
      <c r="G87" s="53">
        <f t="shared" si="36"/>
        <v>2227067</v>
      </c>
      <c r="H87" s="36">
        <f t="shared" si="36"/>
        <v>2281061</v>
      </c>
      <c r="I87" s="54">
        <f t="shared" si="36"/>
        <v>2578657</v>
      </c>
      <c r="J87" s="36">
        <f t="shared" si="36"/>
        <v>2595985</v>
      </c>
      <c r="K87" s="229">
        <f>SUM(K80,K85)</f>
        <v>2985188</v>
      </c>
      <c r="L87" s="249">
        <f>SUM(L80,L85)</f>
        <v>2811078</v>
      </c>
      <c r="M87" s="229">
        <f>SUM(M80,M85)</f>
        <v>3007687</v>
      </c>
      <c r="N87" s="249">
        <f>SUM(N80,N85)</f>
        <v>2881150</v>
      </c>
    </row>
    <row r="88" spans="1:14" x14ac:dyDescent="0.2">
      <c r="A88" s="69" t="s">
        <v>57</v>
      </c>
      <c r="B88" s="32">
        <v>75559</v>
      </c>
      <c r="C88" s="50">
        <v>69854</v>
      </c>
      <c r="D88" s="89">
        <v>108295</v>
      </c>
      <c r="E88" s="50">
        <v>141031</v>
      </c>
      <c r="F88" s="32">
        <v>96285</v>
      </c>
      <c r="G88" s="50">
        <v>127370</v>
      </c>
      <c r="H88" s="35">
        <v>157373</v>
      </c>
      <c r="I88" s="51">
        <v>138421</v>
      </c>
      <c r="J88" s="34">
        <v>254516</v>
      </c>
      <c r="K88" s="222">
        <v>39879</v>
      </c>
      <c r="L88" s="331">
        <v>104959</v>
      </c>
      <c r="M88" s="222">
        <v>184435</v>
      </c>
      <c r="N88" s="331">
        <v>495726</v>
      </c>
    </row>
    <row r="89" spans="1:14" x14ac:dyDescent="0.2">
      <c r="A89" s="68" t="s">
        <v>84</v>
      </c>
      <c r="B89" s="52">
        <f>SUM(B87:B88)</f>
        <v>2509308</v>
      </c>
      <c r="C89" s="53">
        <f t="shared" ref="C89:H89" si="37">SUM(C87:C88)</f>
        <v>2261292</v>
      </c>
      <c r="D89" s="143">
        <f t="shared" si="37"/>
        <v>2267989</v>
      </c>
      <c r="E89" s="53">
        <f t="shared" si="37"/>
        <v>2515800</v>
      </c>
      <c r="F89" s="36">
        <f t="shared" si="37"/>
        <v>2520447</v>
      </c>
      <c r="G89" s="53">
        <f t="shared" si="37"/>
        <v>2354437</v>
      </c>
      <c r="H89" s="36">
        <f t="shared" si="37"/>
        <v>2438434</v>
      </c>
      <c r="I89" s="54">
        <f t="shared" ref="I89:M89" si="38">SUM(I87:I88)</f>
        <v>2717078</v>
      </c>
      <c r="J89" s="36">
        <f t="shared" si="38"/>
        <v>2850501</v>
      </c>
      <c r="K89" s="229">
        <f t="shared" si="38"/>
        <v>3025067</v>
      </c>
      <c r="L89" s="249">
        <f t="shared" si="38"/>
        <v>2916037</v>
      </c>
      <c r="M89" s="229">
        <f t="shared" si="38"/>
        <v>3192122</v>
      </c>
      <c r="N89" s="249">
        <f>SUM(N87:N88)</f>
        <v>3376876</v>
      </c>
    </row>
    <row r="90" spans="1:14" ht="10.9" customHeight="1" x14ac:dyDescent="0.2">
      <c r="A90" s="132" t="s">
        <v>188</v>
      </c>
      <c r="B90" s="40"/>
      <c r="C90" s="40">
        <f t="shared" ref="C90:J90" si="39">(C89-B89)/B89</f>
        <v>-9.8838404851058534E-2</v>
      </c>
      <c r="D90" s="132">
        <f t="shared" si="39"/>
        <v>2.9615812553177565E-3</v>
      </c>
      <c r="E90" s="40">
        <f t="shared" si="39"/>
        <v>0.10926463929057857</v>
      </c>
      <c r="F90" s="40">
        <f t="shared" si="39"/>
        <v>1.8471261626520391E-3</v>
      </c>
      <c r="G90" s="40">
        <f t="shared" si="39"/>
        <v>-6.5865300877185673E-2</v>
      </c>
      <c r="H90" s="40">
        <f t="shared" si="39"/>
        <v>3.5676044846390031E-2</v>
      </c>
      <c r="I90" s="40">
        <f t="shared" si="39"/>
        <v>0.11427170060784914</v>
      </c>
      <c r="J90" s="40">
        <f t="shared" si="39"/>
        <v>4.9105325647625868E-2</v>
      </c>
      <c r="K90" s="224">
        <f>(K89-J89)/J89</f>
        <v>6.1240462641479518E-2</v>
      </c>
      <c r="L90" s="224">
        <f>(L89-K89)/K89</f>
        <v>-3.6042176917073239E-2</v>
      </c>
      <c r="M90" s="224">
        <f>(M89-L89)/L89</f>
        <v>9.4678153946606308E-2</v>
      </c>
      <c r="N90" s="224">
        <f>(N89-M89)/M89</f>
        <v>5.7878113681118705E-2</v>
      </c>
    </row>
    <row r="91" spans="1:14" x14ac:dyDescent="0.2">
      <c r="A91" s="88" t="s">
        <v>85</v>
      </c>
      <c r="B91" s="41"/>
      <c r="C91" s="47"/>
      <c r="D91" s="91"/>
      <c r="E91" s="50"/>
      <c r="F91" s="27"/>
      <c r="G91" s="47"/>
      <c r="H91" s="59"/>
      <c r="I91" s="58"/>
      <c r="J91" s="27"/>
      <c r="K91" s="228"/>
      <c r="L91" s="334"/>
      <c r="M91" s="228"/>
      <c r="N91" s="334"/>
    </row>
    <row r="92" spans="1:14" x14ac:dyDescent="0.2">
      <c r="A92" s="69" t="s">
        <v>264</v>
      </c>
      <c r="B92" s="41"/>
      <c r="C92" s="47"/>
      <c r="D92" s="91"/>
      <c r="E92" s="50"/>
      <c r="F92" s="27"/>
      <c r="G92" s="47"/>
      <c r="H92" s="59"/>
      <c r="I92" s="696">
        <v>0</v>
      </c>
      <c r="J92" s="697">
        <v>0</v>
      </c>
      <c r="K92" s="320">
        <v>0</v>
      </c>
      <c r="L92" s="328">
        <v>758</v>
      </c>
      <c r="M92" s="320">
        <v>0</v>
      </c>
      <c r="N92" s="328">
        <v>0</v>
      </c>
    </row>
    <row r="93" spans="1:14" x14ac:dyDescent="0.2">
      <c r="A93" s="69" t="s">
        <v>62</v>
      </c>
      <c r="B93" s="32">
        <v>3174181</v>
      </c>
      <c r="C93" s="50">
        <v>3333880</v>
      </c>
      <c r="D93" s="89">
        <v>4065696</v>
      </c>
      <c r="E93" s="50">
        <v>3987855</v>
      </c>
      <c r="F93" s="32">
        <v>3685468</v>
      </c>
      <c r="G93" s="50">
        <v>4080775</v>
      </c>
      <c r="H93" s="35">
        <v>4978155</v>
      </c>
      <c r="I93" s="51">
        <v>5136734</v>
      </c>
      <c r="J93" s="34">
        <v>5192080</v>
      </c>
      <c r="K93" s="222">
        <v>5110324</v>
      </c>
      <c r="L93" s="331">
        <v>6901820</v>
      </c>
      <c r="M93" s="222">
        <v>5422649</v>
      </c>
      <c r="N93" s="331">
        <v>5696057</v>
      </c>
    </row>
    <row r="94" spans="1:14" x14ac:dyDescent="0.2">
      <c r="A94" s="69" t="s">
        <v>63</v>
      </c>
      <c r="B94" s="32">
        <v>2075744</v>
      </c>
      <c r="C94" s="50">
        <v>1856206</v>
      </c>
      <c r="D94" s="89">
        <v>2395519</v>
      </c>
      <c r="E94" s="50">
        <v>2881209</v>
      </c>
      <c r="F94" s="32">
        <v>1079044</v>
      </c>
      <c r="G94" s="50">
        <v>1084060</v>
      </c>
      <c r="H94" s="35">
        <v>1259884</v>
      </c>
      <c r="I94" s="51">
        <v>1761852</v>
      </c>
      <c r="J94" s="34">
        <v>1896766</v>
      </c>
      <c r="K94" s="222">
        <v>2018119</v>
      </c>
      <c r="L94" s="331">
        <v>1959327</v>
      </c>
      <c r="M94" s="222">
        <v>2460504</v>
      </c>
      <c r="N94" s="331">
        <v>1434689</v>
      </c>
    </row>
    <row r="95" spans="1:14" x14ac:dyDescent="0.2">
      <c r="A95" s="69" t="s">
        <v>64</v>
      </c>
      <c r="B95" s="35">
        <v>0</v>
      </c>
      <c r="C95" s="50">
        <v>0</v>
      </c>
      <c r="D95" s="306">
        <v>0</v>
      </c>
      <c r="E95" s="50">
        <v>0</v>
      </c>
      <c r="F95" s="32">
        <v>1752291</v>
      </c>
      <c r="G95" s="50">
        <v>1865436</v>
      </c>
      <c r="H95" s="35">
        <v>1894432</v>
      </c>
      <c r="I95" s="51">
        <v>3085005</v>
      </c>
      <c r="J95" s="34">
        <v>3454730</v>
      </c>
      <c r="K95" s="222">
        <v>3564817</v>
      </c>
      <c r="L95" s="331">
        <v>3824301</v>
      </c>
      <c r="M95" s="222">
        <v>4168010</v>
      </c>
      <c r="N95" s="331">
        <v>2415631</v>
      </c>
    </row>
    <row r="96" spans="1:14" x14ac:dyDescent="0.2">
      <c r="A96" s="68" t="s">
        <v>86</v>
      </c>
      <c r="B96" s="52">
        <f>SUM(B93:B94)</f>
        <v>5249925</v>
      </c>
      <c r="C96" s="53">
        <f>SUM(C93:C94)</f>
        <v>5190086</v>
      </c>
      <c r="D96" s="143">
        <f>SUM(D93:D94)</f>
        <v>6461215</v>
      </c>
      <c r="E96" s="53">
        <f t="shared" ref="E96:K96" si="40">SUM(E93:E95)</f>
        <v>6869064</v>
      </c>
      <c r="F96" s="36">
        <f t="shared" si="40"/>
        <v>6516803</v>
      </c>
      <c r="G96" s="54">
        <f t="shared" si="40"/>
        <v>7030271</v>
      </c>
      <c r="H96" s="36">
        <f t="shared" si="40"/>
        <v>8132471</v>
      </c>
      <c r="I96" s="54">
        <f t="shared" si="40"/>
        <v>9983591</v>
      </c>
      <c r="J96" s="36">
        <f t="shared" si="40"/>
        <v>10543576</v>
      </c>
      <c r="K96" s="229">
        <f t="shared" si="40"/>
        <v>10693260</v>
      </c>
      <c r="L96" s="249">
        <f>SUM(L92:L95)</f>
        <v>12686206</v>
      </c>
      <c r="M96" s="229">
        <f>SUM(M92:M95)</f>
        <v>12051163</v>
      </c>
      <c r="N96" s="249">
        <f>SUM(N92:N95)</f>
        <v>9546377</v>
      </c>
    </row>
    <row r="97" spans="1:14" customFormat="1" ht="10.15" customHeight="1" x14ac:dyDescent="0.2">
      <c r="A97" s="132" t="s">
        <v>188</v>
      </c>
      <c r="B97" s="40"/>
      <c r="C97" s="40">
        <f t="shared" ref="C97:I97" si="41">(C96-B96)/B96</f>
        <v>-1.1398067591441782E-2</v>
      </c>
      <c r="D97" s="132">
        <f t="shared" si="41"/>
        <v>0.24491482414742261</v>
      </c>
      <c r="E97" s="40">
        <f t="shared" si="41"/>
        <v>6.3122647984937816E-2</v>
      </c>
      <c r="F97" s="40">
        <f t="shared" si="41"/>
        <v>-5.1282241656214006E-2</v>
      </c>
      <c r="G97" s="40">
        <f t="shared" si="41"/>
        <v>7.8791395105851744E-2</v>
      </c>
      <c r="H97" s="40">
        <f t="shared" si="41"/>
        <v>0.1567791625671329</v>
      </c>
      <c r="I97" s="40">
        <f t="shared" si="41"/>
        <v>0.22762085471930979</v>
      </c>
      <c r="J97" s="40">
        <f>(J96-I96)/I96</f>
        <v>5.6090538965388306E-2</v>
      </c>
      <c r="K97" s="224">
        <f>(K96-J96)/J96</f>
        <v>1.4196701384805306E-2</v>
      </c>
      <c r="L97" s="224">
        <f>(L96-K96)/K96</f>
        <v>0.18637403373713909</v>
      </c>
      <c r="M97" s="224">
        <f>(M96-L96)/L96</f>
        <v>-5.0057755644201271E-2</v>
      </c>
      <c r="N97" s="224">
        <f>(N96-M96)/M96</f>
        <v>-0.20784599793397535</v>
      </c>
    </row>
    <row r="98" spans="1:14" x14ac:dyDescent="0.2">
      <c r="A98" s="432" t="s">
        <v>87</v>
      </c>
      <c r="B98" s="61">
        <f t="shared" ref="B98:L98" si="42">SUM(B60+B72+B74-B89)</f>
        <v>5249925</v>
      </c>
      <c r="C98" s="61">
        <f t="shared" si="42"/>
        <v>5190086</v>
      </c>
      <c r="D98" s="391">
        <f t="shared" si="42"/>
        <v>6461215</v>
      </c>
      <c r="E98" s="61">
        <f t="shared" si="42"/>
        <v>6869064</v>
      </c>
      <c r="F98" s="61">
        <f t="shared" si="42"/>
        <v>6516803</v>
      </c>
      <c r="G98" s="61">
        <f t="shared" si="42"/>
        <v>7030271</v>
      </c>
      <c r="H98" s="61">
        <f t="shared" si="42"/>
        <v>8132471</v>
      </c>
      <c r="I98" s="61">
        <f t="shared" si="42"/>
        <v>9983591</v>
      </c>
      <c r="J98" s="61">
        <f t="shared" si="42"/>
        <v>10543576</v>
      </c>
      <c r="K98" s="251">
        <f t="shared" si="42"/>
        <v>10693260</v>
      </c>
      <c r="L98" s="251">
        <f t="shared" si="42"/>
        <v>12686012</v>
      </c>
      <c r="M98" s="251">
        <f t="shared" ref="M98:N98" si="43">SUM(M60+M72+M74-M89)</f>
        <v>12051163</v>
      </c>
      <c r="N98" s="251">
        <f t="shared" si="43"/>
        <v>9546377</v>
      </c>
    </row>
    <row r="99" spans="1:14" s="433" customFormat="1" ht="6" customHeight="1" x14ac:dyDescent="0.2">
      <c r="A99" s="137"/>
      <c r="B99" s="145"/>
      <c r="C99" s="145"/>
      <c r="D99" s="145"/>
      <c r="E99" s="401"/>
      <c r="F99" s="401"/>
      <c r="G99" s="316"/>
      <c r="H99" s="316"/>
      <c r="I99" s="316"/>
      <c r="J99" s="316"/>
      <c r="K99" s="337"/>
      <c r="L99" s="337"/>
      <c r="M99" s="337"/>
      <c r="N99" s="337"/>
    </row>
    <row r="100" spans="1:14" x14ac:dyDescent="0.2">
      <c r="A100" s="147" t="s">
        <v>89</v>
      </c>
      <c r="B100" s="62" t="s">
        <v>116</v>
      </c>
      <c r="C100" s="63" t="s">
        <v>115</v>
      </c>
      <c r="D100" s="385" t="s">
        <v>127</v>
      </c>
      <c r="E100" s="63" t="s">
        <v>113</v>
      </c>
      <c r="F100" s="63" t="s">
        <v>137</v>
      </c>
      <c r="G100" s="63" t="s">
        <v>125</v>
      </c>
      <c r="H100" s="63" t="s">
        <v>124</v>
      </c>
      <c r="I100" s="63" t="s">
        <v>194</v>
      </c>
      <c r="J100" s="63" t="s">
        <v>193</v>
      </c>
      <c r="K100" s="63" t="s">
        <v>249</v>
      </c>
      <c r="L100" s="321" t="str">
        <f>L2</f>
        <v>CY'2016</v>
      </c>
      <c r="M100" s="321" t="str">
        <f>M2</f>
        <v>CY'2017</v>
      </c>
      <c r="N100" s="321" t="str">
        <f>N2</f>
        <v>CY'2018</v>
      </c>
    </row>
    <row r="101" spans="1:14" x14ac:dyDescent="0.2">
      <c r="A101" s="148"/>
      <c r="B101" s="64" t="s">
        <v>144</v>
      </c>
      <c r="C101" s="64" t="s">
        <v>143</v>
      </c>
      <c r="D101" s="304" t="s">
        <v>142</v>
      </c>
      <c r="E101" s="64" t="s">
        <v>141</v>
      </c>
      <c r="F101" s="64" t="s">
        <v>140</v>
      </c>
      <c r="G101" s="64" t="s">
        <v>139</v>
      </c>
      <c r="H101" s="64" t="s">
        <v>138</v>
      </c>
      <c r="I101" s="64" t="s">
        <v>198</v>
      </c>
      <c r="J101" s="64" t="s">
        <v>197</v>
      </c>
      <c r="K101" s="64" t="s">
        <v>251</v>
      </c>
      <c r="L101" s="64" t="s">
        <v>259</v>
      </c>
      <c r="M101" s="64" t="s">
        <v>283</v>
      </c>
      <c r="N101" s="64" t="s">
        <v>331</v>
      </c>
    </row>
    <row r="102" spans="1:14" x14ac:dyDescent="0.2">
      <c r="A102" s="68" t="s">
        <v>61</v>
      </c>
      <c r="B102" s="66"/>
      <c r="C102" s="67"/>
      <c r="D102" s="386"/>
      <c r="E102" s="55"/>
      <c r="F102" s="55"/>
      <c r="G102" s="60"/>
      <c r="H102" s="55"/>
      <c r="I102" s="55"/>
      <c r="J102" s="55"/>
      <c r="K102" s="231"/>
      <c r="L102" s="231"/>
      <c r="M102" s="231"/>
      <c r="N102" s="231"/>
    </row>
    <row r="103" spans="1:14" x14ac:dyDescent="0.2">
      <c r="A103" s="69" t="s">
        <v>264</v>
      </c>
      <c r="B103" s="66"/>
      <c r="C103" s="67"/>
      <c r="D103" s="386"/>
      <c r="E103" s="55"/>
      <c r="F103" s="55"/>
      <c r="G103" s="60"/>
      <c r="H103" s="55">
        <v>0</v>
      </c>
      <c r="I103" s="55">
        <v>0</v>
      </c>
      <c r="J103" s="55">
        <v>0</v>
      </c>
      <c r="K103" s="695">
        <v>0</v>
      </c>
      <c r="L103" s="322">
        <v>0</v>
      </c>
      <c r="M103" s="322">
        <v>0</v>
      </c>
      <c r="N103" s="322">
        <v>0</v>
      </c>
    </row>
    <row r="104" spans="1:14" x14ac:dyDescent="0.2">
      <c r="A104" s="69" t="s">
        <v>62</v>
      </c>
      <c r="B104" s="35">
        <v>1375747</v>
      </c>
      <c r="C104" s="32">
        <v>1292950</v>
      </c>
      <c r="D104" s="89">
        <v>1425766</v>
      </c>
      <c r="E104" s="32">
        <v>1897270</v>
      </c>
      <c r="F104" s="32">
        <v>1897212</v>
      </c>
      <c r="G104" s="35">
        <v>1497412</v>
      </c>
      <c r="H104" s="32">
        <v>1724262</v>
      </c>
      <c r="I104" s="35">
        <v>2365693</v>
      </c>
      <c r="J104" s="35">
        <v>2564083</v>
      </c>
      <c r="K104" s="232">
        <v>2654030</v>
      </c>
      <c r="L104" s="232">
        <v>2773027</v>
      </c>
      <c r="M104" s="232">
        <v>4175273</v>
      </c>
      <c r="N104" s="232">
        <v>2281453</v>
      </c>
    </row>
    <row r="105" spans="1:14" x14ac:dyDescent="0.2">
      <c r="A105" s="69" t="s">
        <v>63</v>
      </c>
      <c r="B105" s="35">
        <v>1614077</v>
      </c>
      <c r="C105" s="32">
        <v>1687510</v>
      </c>
      <c r="D105" s="89">
        <v>1529801</v>
      </c>
      <c r="E105" s="32">
        <v>2447058</v>
      </c>
      <c r="F105" s="32">
        <v>1123944</v>
      </c>
      <c r="G105" s="35">
        <v>1000914</v>
      </c>
      <c r="H105" s="32">
        <v>1683773</v>
      </c>
      <c r="I105" s="35">
        <v>1632929</v>
      </c>
      <c r="J105" s="35">
        <v>1903560</v>
      </c>
      <c r="K105" s="232">
        <v>1834928</v>
      </c>
      <c r="L105" s="232">
        <v>2024414</v>
      </c>
      <c r="M105" s="232">
        <v>1842736</v>
      </c>
      <c r="N105" s="232">
        <v>2016816</v>
      </c>
    </row>
    <row r="106" spans="1:14" x14ac:dyDescent="0.2">
      <c r="A106" s="69" t="s">
        <v>64</v>
      </c>
      <c r="B106" s="32">
        <v>0</v>
      </c>
      <c r="C106" s="32">
        <v>0</v>
      </c>
      <c r="D106" s="89">
        <v>0</v>
      </c>
      <c r="E106" s="32">
        <v>0</v>
      </c>
      <c r="F106" s="32">
        <v>1590050</v>
      </c>
      <c r="G106" s="35">
        <v>1584245</v>
      </c>
      <c r="H106" s="32">
        <v>1159770</v>
      </c>
      <c r="I106" s="35">
        <v>1795073</v>
      </c>
      <c r="J106" s="35">
        <v>3041141</v>
      </c>
      <c r="K106" s="232">
        <v>3182138</v>
      </c>
      <c r="L106" s="232">
        <v>3508002</v>
      </c>
      <c r="M106" s="232">
        <v>3727372</v>
      </c>
      <c r="N106" s="232">
        <v>2586624</v>
      </c>
    </row>
    <row r="107" spans="1:14" x14ac:dyDescent="0.2">
      <c r="A107" s="69" t="s">
        <v>65</v>
      </c>
      <c r="B107" s="35">
        <f>SUM(B104:B106)</f>
        <v>2989824</v>
      </c>
      <c r="C107" s="35">
        <f t="shared" ref="C107:J107" si="44">SUM(C104:C106)</f>
        <v>2980460</v>
      </c>
      <c r="D107" s="306">
        <f t="shared" si="44"/>
        <v>2955567</v>
      </c>
      <c r="E107" s="35">
        <f t="shared" si="44"/>
        <v>4344328</v>
      </c>
      <c r="F107" s="35">
        <f t="shared" si="44"/>
        <v>4611206</v>
      </c>
      <c r="G107" s="35">
        <f t="shared" si="44"/>
        <v>4082571</v>
      </c>
      <c r="H107" s="34">
        <f t="shared" si="44"/>
        <v>4567805</v>
      </c>
      <c r="I107" s="35">
        <f t="shared" si="44"/>
        <v>5793695</v>
      </c>
      <c r="J107" s="35">
        <f t="shared" si="44"/>
        <v>7508784</v>
      </c>
      <c r="K107" s="233">
        <f>SUM(K104:K106)</f>
        <v>7671096</v>
      </c>
      <c r="L107" s="233">
        <f>SUM(L103:L106)</f>
        <v>8305443</v>
      </c>
      <c r="M107" s="233">
        <f>SUM(M103:M106)</f>
        <v>9745381</v>
      </c>
      <c r="N107" s="233">
        <f>SUM(N103:N106)</f>
        <v>6884893</v>
      </c>
    </row>
    <row r="108" spans="1:14" x14ac:dyDescent="0.2">
      <c r="A108" s="69" t="s">
        <v>66</v>
      </c>
      <c r="B108" s="35">
        <f>SUM(B10+B59)</f>
        <v>47129</v>
      </c>
      <c r="C108" s="32">
        <v>101546</v>
      </c>
      <c r="D108" s="89">
        <v>43332</v>
      </c>
      <c r="E108" s="32">
        <v>112416</v>
      </c>
      <c r="F108" s="32">
        <v>10766</v>
      </c>
      <c r="G108" s="35">
        <v>18961</v>
      </c>
      <c r="H108" s="32">
        <v>27218</v>
      </c>
      <c r="I108" s="35">
        <v>1919</v>
      </c>
      <c r="J108" s="35">
        <v>-20012</v>
      </c>
      <c r="K108" s="232">
        <v>45440</v>
      </c>
      <c r="L108" s="323">
        <v>-2664</v>
      </c>
      <c r="M108" s="323">
        <v>253802</v>
      </c>
      <c r="N108" s="323">
        <v>-267</v>
      </c>
    </row>
    <row r="109" spans="1:14" x14ac:dyDescent="0.2">
      <c r="A109" s="68" t="s">
        <v>90</v>
      </c>
      <c r="B109" s="36">
        <f>SUM(B107:B108)</f>
        <v>3036953</v>
      </c>
      <c r="C109" s="36">
        <f t="shared" ref="C109:J109" si="45">SUM(C107:C108)</f>
        <v>3082006</v>
      </c>
      <c r="D109" s="307">
        <f t="shared" si="45"/>
        <v>2998899</v>
      </c>
      <c r="E109" s="36">
        <f t="shared" si="45"/>
        <v>4456744</v>
      </c>
      <c r="F109" s="36">
        <f t="shared" si="45"/>
        <v>4621972</v>
      </c>
      <c r="G109" s="36">
        <f t="shared" si="45"/>
        <v>4101532</v>
      </c>
      <c r="H109" s="39">
        <f t="shared" si="45"/>
        <v>4595023</v>
      </c>
      <c r="I109" s="36">
        <f t="shared" si="45"/>
        <v>5795614</v>
      </c>
      <c r="J109" s="36">
        <f t="shared" si="45"/>
        <v>7488772</v>
      </c>
      <c r="K109" s="36">
        <f>SUM(K107:K108)</f>
        <v>7716536</v>
      </c>
      <c r="L109" s="36">
        <f>SUM(L107:L108)</f>
        <v>8302779</v>
      </c>
      <c r="M109" s="36">
        <f>SUM(M107:M108)</f>
        <v>9999183</v>
      </c>
      <c r="N109" s="36">
        <f>SUM(N107:N108)</f>
        <v>6884626</v>
      </c>
    </row>
    <row r="110" spans="1:14" ht="10.9" customHeight="1" x14ac:dyDescent="0.2">
      <c r="A110" s="132" t="s">
        <v>188</v>
      </c>
      <c r="B110" s="40"/>
      <c r="C110" s="40">
        <f t="shared" ref="C110:J110" si="46">(C109-B109)/B109</f>
        <v>1.4834934883746966E-2</v>
      </c>
      <c r="D110" s="132">
        <f t="shared" si="46"/>
        <v>-2.6965229788650638E-2</v>
      </c>
      <c r="E110" s="40">
        <f t="shared" si="46"/>
        <v>0.48612674184759141</v>
      </c>
      <c r="F110" s="40">
        <f t="shared" si="46"/>
        <v>3.7073702236430903E-2</v>
      </c>
      <c r="G110" s="40">
        <f t="shared" si="46"/>
        <v>-0.11260128793510649</v>
      </c>
      <c r="H110" s="40">
        <f t="shared" si="46"/>
        <v>0.12031870042705994</v>
      </c>
      <c r="I110" s="40">
        <f t="shared" si="46"/>
        <v>0.26128073787661127</v>
      </c>
      <c r="J110" s="40">
        <f t="shared" si="46"/>
        <v>0.29214471495168587</v>
      </c>
      <c r="K110" s="40">
        <f>(K109-J109)/J109</f>
        <v>3.0414065216566883E-2</v>
      </c>
      <c r="L110" s="40">
        <f>(L109-K109)/K109</f>
        <v>7.5972301561218661E-2</v>
      </c>
      <c r="M110" s="40">
        <f>(M109-L109)/L109</f>
        <v>0.20431761462035783</v>
      </c>
      <c r="N110" s="40">
        <f>(N109-M109)/M109</f>
        <v>-0.31148114800979237</v>
      </c>
    </row>
    <row r="111" spans="1:14" x14ac:dyDescent="0.2">
      <c r="A111" s="68" t="s">
        <v>68</v>
      </c>
      <c r="B111" s="65"/>
      <c r="C111" s="71"/>
      <c r="D111" s="387"/>
      <c r="E111" s="32"/>
      <c r="F111" s="55"/>
      <c r="G111" s="36"/>
      <c r="H111" s="52"/>
      <c r="I111" s="52"/>
      <c r="J111" s="55"/>
      <c r="K111" s="231"/>
      <c r="L111" s="231"/>
      <c r="M111" s="231"/>
      <c r="N111" s="231"/>
    </row>
    <row r="112" spans="1:14" x14ac:dyDescent="0.2">
      <c r="A112" s="69" t="s">
        <v>69</v>
      </c>
      <c r="B112" s="35">
        <v>1879610</v>
      </c>
      <c r="C112" s="35">
        <v>1521894</v>
      </c>
      <c r="D112" s="89">
        <v>2374353</v>
      </c>
      <c r="E112" s="32">
        <v>1817060</v>
      </c>
      <c r="F112" s="32">
        <v>1892382</v>
      </c>
      <c r="G112" s="35">
        <v>2358481</v>
      </c>
      <c r="H112" s="32">
        <v>2157436</v>
      </c>
      <c r="I112" s="32">
        <v>1866242</v>
      </c>
      <c r="J112" s="35">
        <v>1894288</v>
      </c>
      <c r="K112" s="234">
        <v>2190416</v>
      </c>
      <c r="L112" s="234">
        <v>2102566</v>
      </c>
      <c r="M112" s="234">
        <v>1758592</v>
      </c>
      <c r="N112" s="234">
        <v>2237243</v>
      </c>
    </row>
    <row r="113" spans="1:14" x14ac:dyDescent="0.2">
      <c r="A113" s="69" t="s">
        <v>70</v>
      </c>
      <c r="B113" s="35">
        <v>465741</v>
      </c>
      <c r="C113" s="35">
        <v>521905</v>
      </c>
      <c r="D113" s="89">
        <v>508247</v>
      </c>
      <c r="E113" s="32">
        <v>544066</v>
      </c>
      <c r="F113" s="32">
        <v>548889</v>
      </c>
      <c r="G113" s="35">
        <v>494979</v>
      </c>
      <c r="H113" s="32">
        <v>536014</v>
      </c>
      <c r="I113" s="32">
        <v>508805</v>
      </c>
      <c r="J113" s="35">
        <v>570842</v>
      </c>
      <c r="K113" s="234">
        <v>438289</v>
      </c>
      <c r="L113" s="234">
        <v>575192</v>
      </c>
      <c r="M113" s="234">
        <v>422830</v>
      </c>
      <c r="N113" s="234">
        <v>447592</v>
      </c>
    </row>
    <row r="114" spans="1:14" x14ac:dyDescent="0.2">
      <c r="A114" s="69" t="s">
        <v>71</v>
      </c>
      <c r="B114" s="35">
        <v>465745</v>
      </c>
      <c r="C114" s="35">
        <v>491505</v>
      </c>
      <c r="D114" s="89">
        <v>399348</v>
      </c>
      <c r="E114" s="32">
        <v>429645</v>
      </c>
      <c r="F114" s="32">
        <v>286830</v>
      </c>
      <c r="G114" s="35">
        <v>360533</v>
      </c>
      <c r="H114" s="32">
        <v>403639</v>
      </c>
      <c r="I114" s="32">
        <v>425491</v>
      </c>
      <c r="J114" s="35">
        <v>491895</v>
      </c>
      <c r="K114" s="234">
        <v>546073</v>
      </c>
      <c r="L114" s="234">
        <v>379458</v>
      </c>
      <c r="M114" s="234">
        <v>474359</v>
      </c>
      <c r="N114" s="234">
        <v>544464</v>
      </c>
    </row>
    <row r="115" spans="1:14" x14ac:dyDescent="0.2">
      <c r="A115" s="69" t="s">
        <v>72</v>
      </c>
      <c r="B115" s="35">
        <v>121368</v>
      </c>
      <c r="C115" s="35">
        <v>188094</v>
      </c>
      <c r="D115" s="89">
        <v>108205</v>
      </c>
      <c r="E115" s="32">
        <v>179225</v>
      </c>
      <c r="F115" s="32">
        <v>118367</v>
      </c>
      <c r="G115" s="35">
        <v>123072</v>
      </c>
      <c r="H115" s="32">
        <v>136653</v>
      </c>
      <c r="I115" s="32">
        <v>147891</v>
      </c>
      <c r="J115" s="35">
        <v>149883</v>
      </c>
      <c r="K115" s="234">
        <v>196085</v>
      </c>
      <c r="L115" s="234">
        <v>159475</v>
      </c>
      <c r="M115" s="234">
        <v>130684</v>
      </c>
      <c r="N115" s="234">
        <v>180778</v>
      </c>
    </row>
    <row r="116" spans="1:14" x14ac:dyDescent="0.2">
      <c r="A116" s="69" t="s">
        <v>73</v>
      </c>
      <c r="B116" s="35">
        <v>3847157</v>
      </c>
      <c r="C116" s="35">
        <v>3823669</v>
      </c>
      <c r="D116" s="89">
        <v>4463818</v>
      </c>
      <c r="E116" s="32">
        <v>3955284</v>
      </c>
      <c r="F116" s="32">
        <v>3950192</v>
      </c>
      <c r="G116" s="35">
        <v>4416223</v>
      </c>
      <c r="H116" s="32">
        <v>4702938</v>
      </c>
      <c r="I116" s="32">
        <v>5861014</v>
      </c>
      <c r="J116" s="35">
        <v>4923580</v>
      </c>
      <c r="K116" s="234">
        <v>4687177</v>
      </c>
      <c r="L116" s="234">
        <v>6040837</v>
      </c>
      <c r="M116" s="234">
        <v>5335325</v>
      </c>
      <c r="N116" s="234">
        <v>5271545</v>
      </c>
    </row>
    <row r="117" spans="1:14" x14ac:dyDescent="0.2">
      <c r="A117" s="69" t="s">
        <v>74</v>
      </c>
      <c r="B117" s="35">
        <v>652</v>
      </c>
      <c r="C117" s="35">
        <v>580</v>
      </c>
      <c r="D117" s="89">
        <v>6282</v>
      </c>
      <c r="E117" s="32">
        <v>7599</v>
      </c>
      <c r="F117" s="32">
        <v>900</v>
      </c>
      <c r="G117" s="35">
        <v>1304</v>
      </c>
      <c r="H117" s="32">
        <v>569</v>
      </c>
      <c r="I117" s="32">
        <v>9169</v>
      </c>
      <c r="J117" s="35">
        <v>27308</v>
      </c>
      <c r="K117" s="234">
        <v>131</v>
      </c>
      <c r="L117" s="234">
        <v>217</v>
      </c>
      <c r="M117" s="234">
        <v>196</v>
      </c>
      <c r="N117" s="234">
        <v>0</v>
      </c>
    </row>
    <row r="118" spans="1:14" x14ac:dyDescent="0.2">
      <c r="A118" s="72" t="s">
        <v>75</v>
      </c>
      <c r="B118" s="35">
        <f>SUM(B112:B117)</f>
        <v>6780273</v>
      </c>
      <c r="C118" s="35">
        <f t="shared" ref="C118:H118" si="47">SUM(C112:C117)</f>
        <v>6547647</v>
      </c>
      <c r="D118" s="306">
        <f t="shared" si="47"/>
        <v>7860253</v>
      </c>
      <c r="E118" s="35">
        <f t="shared" si="47"/>
        <v>6932879</v>
      </c>
      <c r="F118" s="35">
        <f t="shared" si="47"/>
        <v>6797560</v>
      </c>
      <c r="G118" s="35">
        <f t="shared" si="47"/>
        <v>7754592</v>
      </c>
      <c r="H118" s="34">
        <f t="shared" si="47"/>
        <v>7937249</v>
      </c>
      <c r="I118" s="36">
        <f t="shared" ref="I118:N118" si="48">SUM(I112:I117)</f>
        <v>8818612</v>
      </c>
      <c r="J118" s="36">
        <f t="shared" si="48"/>
        <v>8057796</v>
      </c>
      <c r="K118" s="235">
        <f t="shared" si="48"/>
        <v>8058171</v>
      </c>
      <c r="L118" s="235">
        <f t="shared" si="48"/>
        <v>9257745</v>
      </c>
      <c r="M118" s="235">
        <f t="shared" si="48"/>
        <v>8121986</v>
      </c>
      <c r="N118" s="235">
        <f t="shared" si="48"/>
        <v>8681622</v>
      </c>
    </row>
    <row r="119" spans="1:14" ht="10.9" customHeight="1" x14ac:dyDescent="0.2">
      <c r="A119" s="132" t="s">
        <v>188</v>
      </c>
      <c r="B119" s="40"/>
      <c r="C119" s="40">
        <f t="shared" ref="C119:J119" si="49">(C118-B118)/B118</f>
        <v>-3.4309237990859658E-2</v>
      </c>
      <c r="D119" s="132">
        <f t="shared" si="49"/>
        <v>0.20046987872131775</v>
      </c>
      <c r="E119" s="40">
        <f t="shared" si="49"/>
        <v>-0.11798271633241322</v>
      </c>
      <c r="F119" s="40">
        <f t="shared" si="49"/>
        <v>-1.9518442482553064E-2</v>
      </c>
      <c r="G119" s="40">
        <f t="shared" si="49"/>
        <v>0.14079051895091768</v>
      </c>
      <c r="H119" s="40">
        <f t="shared" si="49"/>
        <v>2.3554688628363685E-2</v>
      </c>
      <c r="I119" s="40">
        <f t="shared" si="49"/>
        <v>0.11104136962315281</v>
      </c>
      <c r="J119" s="40">
        <f t="shared" si="49"/>
        <v>-8.6273894349813779E-2</v>
      </c>
      <c r="K119" s="40">
        <f>(K118-J118)/J118</f>
        <v>4.6538780579701944E-5</v>
      </c>
      <c r="L119" s="40">
        <f>(L118-K118)/K118</f>
        <v>0.14886430183722832</v>
      </c>
      <c r="M119" s="40">
        <f>(M118-L118)/L118</f>
        <v>-0.1226820354200726</v>
      </c>
      <c r="N119" s="40">
        <f>(N118-M118)/M118</f>
        <v>6.8903837066451479E-2</v>
      </c>
    </row>
    <row r="120" spans="1:14" x14ac:dyDescent="0.2">
      <c r="A120" s="69" t="s">
        <v>76</v>
      </c>
      <c r="B120" s="35">
        <v>1105005</v>
      </c>
      <c r="C120" s="32">
        <v>991572</v>
      </c>
      <c r="D120" s="89">
        <v>936594</v>
      </c>
      <c r="E120" s="32">
        <v>1113026</v>
      </c>
      <c r="F120" s="32">
        <v>893341</v>
      </c>
      <c r="G120" s="35">
        <v>1029528</v>
      </c>
      <c r="H120" s="32">
        <v>1494953</v>
      </c>
      <c r="I120" s="32">
        <v>1540728</v>
      </c>
      <c r="J120" s="32">
        <v>1737038</v>
      </c>
      <c r="K120" s="234">
        <v>1787368</v>
      </c>
      <c r="L120" s="234">
        <f>86119+1922084+27052</f>
        <v>2035255</v>
      </c>
      <c r="M120" s="234">
        <v>1344858</v>
      </c>
      <c r="N120" s="234">
        <v>1925805</v>
      </c>
    </row>
    <row r="121" spans="1:14" x14ac:dyDescent="0.2">
      <c r="A121" s="68" t="s">
        <v>91</v>
      </c>
      <c r="B121" s="36">
        <f>SUM(B118:B120)</f>
        <v>7885278</v>
      </c>
      <c r="C121" s="36">
        <f t="shared" ref="C121:J121" si="50">SUM(C118:C120)</f>
        <v>7539218.9656907618</v>
      </c>
      <c r="D121" s="307">
        <f t="shared" si="50"/>
        <v>8796847.2004698776</v>
      </c>
      <c r="E121" s="36">
        <f t="shared" si="50"/>
        <v>8045904.8820172837</v>
      </c>
      <c r="F121" s="36">
        <f t="shared" si="50"/>
        <v>7690900.9804815575</v>
      </c>
      <c r="G121" s="36">
        <f t="shared" si="50"/>
        <v>8784120.1407905184</v>
      </c>
      <c r="H121" s="39">
        <f t="shared" si="50"/>
        <v>9432202.0235546883</v>
      </c>
      <c r="I121" s="36">
        <f t="shared" si="50"/>
        <v>10359340.111041369</v>
      </c>
      <c r="J121" s="36">
        <f t="shared" si="50"/>
        <v>9794833.9137261063</v>
      </c>
      <c r="K121" s="70">
        <f>SUM(K118+K120)</f>
        <v>9845539</v>
      </c>
      <c r="L121" s="70">
        <f>SUM(L118+L120)</f>
        <v>11293000</v>
      </c>
      <c r="M121" s="70">
        <f>SUM(M118+M120)</f>
        <v>9466844</v>
      </c>
      <c r="N121" s="70">
        <f>SUM(N118+N120)</f>
        <v>10607427</v>
      </c>
    </row>
    <row r="122" spans="1:14" ht="10.9" customHeight="1" x14ac:dyDescent="0.2">
      <c r="A122" s="132" t="s">
        <v>188</v>
      </c>
      <c r="B122" s="40"/>
      <c r="C122" s="40">
        <f t="shared" ref="C122:J122" si="51">(C121-B121)/B121</f>
        <v>-4.3886725909883989E-2</v>
      </c>
      <c r="D122" s="132">
        <f t="shared" si="51"/>
        <v>0.16681147483609249</v>
      </c>
      <c r="E122" s="40">
        <f t="shared" si="51"/>
        <v>-8.5364938294311035E-2</v>
      </c>
      <c r="F122" s="40">
        <f t="shared" si="51"/>
        <v>-4.4122309018239221E-2</v>
      </c>
      <c r="G122" s="40">
        <f t="shared" si="51"/>
        <v>0.1421444851628437</v>
      </c>
      <c r="H122" s="40">
        <f t="shared" si="51"/>
        <v>7.3778804521888799E-2</v>
      </c>
      <c r="I122" s="40">
        <f t="shared" si="51"/>
        <v>9.8294977691463031E-2</v>
      </c>
      <c r="J122" s="40">
        <f t="shared" si="51"/>
        <v>-5.4492486129844406E-2</v>
      </c>
      <c r="K122" s="40">
        <f>(K121-J121)/J121</f>
        <v>5.1767173104219294E-3</v>
      </c>
      <c r="L122" s="40">
        <f>(L121-K121)/K121</f>
        <v>0.14701693833115689</v>
      </c>
      <c r="M122" s="40">
        <f>(M121-L121)/L121</f>
        <v>-0.16170689807845567</v>
      </c>
      <c r="N122" s="40">
        <f>(N121-M121)/M121</f>
        <v>0.12048186280454183</v>
      </c>
    </row>
    <row r="123" spans="1:14" x14ac:dyDescent="0.2">
      <c r="A123" s="69" t="s">
        <v>55</v>
      </c>
      <c r="B123" s="35">
        <v>-65158</v>
      </c>
      <c r="C123" s="32">
        <v>-50239</v>
      </c>
      <c r="D123" s="89">
        <v>88832</v>
      </c>
      <c r="E123" s="32">
        <v>-36664</v>
      </c>
      <c r="F123" s="32">
        <v>145865</v>
      </c>
      <c r="G123" s="275">
        <v>-978</v>
      </c>
      <c r="H123" s="32">
        <v>5696</v>
      </c>
      <c r="I123" s="32">
        <v>46617</v>
      </c>
      <c r="J123" s="32">
        <v>37928</v>
      </c>
      <c r="K123" s="232">
        <v>1397</v>
      </c>
      <c r="L123" s="232">
        <v>-77222</v>
      </c>
      <c r="M123" s="232">
        <v>14822</v>
      </c>
      <c r="N123" s="232">
        <v>87959</v>
      </c>
    </row>
    <row r="124" spans="1:14" x14ac:dyDescent="0.2">
      <c r="A124" s="68" t="s">
        <v>78</v>
      </c>
      <c r="B124" s="65"/>
      <c r="C124" s="71"/>
      <c r="D124" s="387"/>
      <c r="E124" s="32"/>
      <c r="F124" s="55"/>
      <c r="G124" s="36"/>
      <c r="H124" s="52"/>
      <c r="I124" s="52"/>
      <c r="J124" s="55"/>
      <c r="K124" s="236"/>
      <c r="L124" s="236"/>
      <c r="M124" s="236"/>
      <c r="N124" s="236"/>
    </row>
    <row r="125" spans="1:14" x14ac:dyDescent="0.2">
      <c r="A125" s="69" t="s">
        <v>355</v>
      </c>
      <c r="B125" s="35">
        <v>258454</v>
      </c>
      <c r="C125" s="32">
        <v>291587</v>
      </c>
      <c r="D125" s="89">
        <v>252694</v>
      </c>
      <c r="E125" s="32">
        <v>241219</v>
      </c>
      <c r="F125" s="32">
        <v>257012</v>
      </c>
      <c r="G125" s="35">
        <v>258980</v>
      </c>
      <c r="H125" s="32">
        <v>265364</v>
      </c>
      <c r="I125" s="32">
        <v>270383</v>
      </c>
      <c r="J125" s="32">
        <v>258767</v>
      </c>
      <c r="K125" s="232">
        <v>270229</v>
      </c>
      <c r="L125" s="232">
        <v>288697</v>
      </c>
      <c r="M125" s="232">
        <v>284672</v>
      </c>
      <c r="N125" s="232">
        <v>281317</v>
      </c>
    </row>
    <row r="126" spans="1:14" x14ac:dyDescent="0.2">
      <c r="A126" s="69" t="s">
        <v>357</v>
      </c>
      <c r="B126" s="35">
        <v>3322043</v>
      </c>
      <c r="C126" s="32">
        <v>3505675</v>
      </c>
      <c r="D126" s="89">
        <v>3300151</v>
      </c>
      <c r="E126" s="32">
        <v>3238560</v>
      </c>
      <c r="F126" s="32">
        <v>3275063</v>
      </c>
      <c r="G126" s="35">
        <v>3143719</v>
      </c>
      <c r="H126" s="32">
        <v>3089459</v>
      </c>
      <c r="I126" s="32">
        <v>3198971</v>
      </c>
      <c r="J126" s="32">
        <v>3297907</v>
      </c>
      <c r="K126" s="232">
        <v>3513593</v>
      </c>
      <c r="L126" s="232">
        <v>3484474</v>
      </c>
      <c r="M126" s="232">
        <v>3604714</v>
      </c>
      <c r="N126" s="232">
        <v>3612966</v>
      </c>
    </row>
    <row r="127" spans="1:14" x14ac:dyDescent="0.2">
      <c r="A127" s="69" t="s">
        <v>358</v>
      </c>
      <c r="B127" s="35">
        <v>781269</v>
      </c>
      <c r="C127" s="32">
        <v>515165</v>
      </c>
      <c r="D127" s="89">
        <v>424729</v>
      </c>
      <c r="E127" s="32">
        <v>629158</v>
      </c>
      <c r="F127" s="32">
        <v>625548</v>
      </c>
      <c r="G127" s="35">
        <v>522771</v>
      </c>
      <c r="H127" s="32">
        <v>638453</v>
      </c>
      <c r="I127" s="32">
        <v>557601</v>
      </c>
      <c r="J127" s="32">
        <v>713454</v>
      </c>
      <c r="K127" s="232">
        <v>572404</v>
      </c>
      <c r="L127" s="232">
        <v>576755</v>
      </c>
      <c r="M127" s="232">
        <v>784527</v>
      </c>
      <c r="N127" s="232">
        <v>712680</v>
      </c>
    </row>
    <row r="128" spans="1:14" x14ac:dyDescent="0.2">
      <c r="A128" s="69" t="s">
        <v>79</v>
      </c>
      <c r="B128" s="35">
        <v>35147</v>
      </c>
      <c r="C128" s="32">
        <v>36594</v>
      </c>
      <c r="D128" s="89">
        <v>33690</v>
      </c>
      <c r="E128" s="32">
        <v>31986</v>
      </c>
      <c r="F128" s="32">
        <v>29748</v>
      </c>
      <c r="G128" s="35">
        <v>28182</v>
      </c>
      <c r="H128" s="32">
        <v>38238</v>
      </c>
      <c r="I128" s="32">
        <v>54739</v>
      </c>
      <c r="J128" s="32">
        <v>194560</v>
      </c>
      <c r="K128" s="232">
        <v>414215</v>
      </c>
      <c r="L128" s="232">
        <v>343280</v>
      </c>
      <c r="M128" s="232">
        <v>71599</v>
      </c>
      <c r="N128" s="232">
        <v>45847</v>
      </c>
    </row>
    <row r="129" spans="1:14" x14ac:dyDescent="0.2">
      <c r="A129" s="68" t="s">
        <v>80</v>
      </c>
      <c r="B129" s="36">
        <f>SUM(B125:B128)</f>
        <v>4396913</v>
      </c>
      <c r="C129" s="36">
        <f t="shared" ref="C129:J129" si="52">SUM(C125:C128)</f>
        <v>4349021</v>
      </c>
      <c r="D129" s="307">
        <f t="shared" si="52"/>
        <v>4011264</v>
      </c>
      <c r="E129" s="39">
        <f>SUM(E125:E128)</f>
        <v>4140923</v>
      </c>
      <c r="F129" s="36">
        <f t="shared" si="52"/>
        <v>4187371</v>
      </c>
      <c r="G129" s="36">
        <f t="shared" si="52"/>
        <v>3953652</v>
      </c>
      <c r="H129" s="39">
        <f t="shared" si="52"/>
        <v>4031514</v>
      </c>
      <c r="I129" s="39">
        <f t="shared" si="52"/>
        <v>4081694</v>
      </c>
      <c r="J129" s="39">
        <f t="shared" si="52"/>
        <v>4464688</v>
      </c>
      <c r="K129" s="39">
        <f>SUM(K125:K128)</f>
        <v>4770441</v>
      </c>
      <c r="L129" s="39">
        <f>SUM(L125:L128)</f>
        <v>4693206</v>
      </c>
      <c r="M129" s="36">
        <f>SUM(M125:M128)</f>
        <v>4745512</v>
      </c>
      <c r="N129" s="36">
        <f>SUM(N125:N128)</f>
        <v>4652810</v>
      </c>
    </row>
    <row r="130" spans="1:14" ht="10.9" customHeight="1" x14ac:dyDescent="0.2">
      <c r="A130" s="132" t="s">
        <v>188</v>
      </c>
      <c r="B130" s="40"/>
      <c r="C130" s="40">
        <f t="shared" ref="C130:J130" si="53">(C129-B129)/B129</f>
        <v>-1.0892187314145175E-2</v>
      </c>
      <c r="D130" s="132">
        <f t="shared" si="53"/>
        <v>-7.7662765942036152E-2</v>
      </c>
      <c r="E130" s="40">
        <f t="shared" si="53"/>
        <v>3.2323726386495631E-2</v>
      </c>
      <c r="F130" s="40">
        <f t="shared" si="53"/>
        <v>1.1216822916050358E-2</v>
      </c>
      <c r="G130" s="40">
        <f t="shared" si="53"/>
        <v>-5.5815211979067532E-2</v>
      </c>
      <c r="H130" s="40">
        <f t="shared" si="53"/>
        <v>1.9693690795244499E-2</v>
      </c>
      <c r="I130" s="40">
        <f t="shared" si="53"/>
        <v>1.2446936808355373E-2</v>
      </c>
      <c r="J130" s="40">
        <f t="shared" si="53"/>
        <v>9.383211970324086E-2</v>
      </c>
      <c r="K130" s="40">
        <f>(K129-J129)/J129</f>
        <v>6.8482500904878466E-2</v>
      </c>
      <c r="L130" s="40">
        <f>(L129-K129)/K129</f>
        <v>-1.6190327057812894E-2</v>
      </c>
      <c r="M130" s="40">
        <f>(M129-L129)/L129</f>
        <v>1.1145046690897437E-2</v>
      </c>
      <c r="N130" s="40">
        <f>(N129-M129)/M129</f>
        <v>-1.9534667702873789E-2</v>
      </c>
    </row>
    <row r="131" spans="1:14" x14ac:dyDescent="0.2">
      <c r="A131" s="69" t="s">
        <v>81</v>
      </c>
      <c r="B131" s="35">
        <v>75240</v>
      </c>
      <c r="C131" s="32">
        <v>54899</v>
      </c>
      <c r="D131" s="89">
        <v>48313</v>
      </c>
      <c r="E131" s="32">
        <v>50667</v>
      </c>
      <c r="F131" s="32">
        <v>48267</v>
      </c>
      <c r="G131" s="35">
        <v>58847</v>
      </c>
      <c r="H131" s="32">
        <v>56275</v>
      </c>
      <c r="I131" s="32">
        <v>53581</v>
      </c>
      <c r="J131" s="32">
        <v>55952</v>
      </c>
      <c r="K131" s="232">
        <v>47906</v>
      </c>
      <c r="L131" s="232">
        <v>43821</v>
      </c>
      <c r="M131" s="232">
        <v>45273</v>
      </c>
      <c r="N131" s="232">
        <v>47304</v>
      </c>
    </row>
    <row r="132" spans="1:14" x14ac:dyDescent="0.2">
      <c r="A132" s="69" t="s">
        <v>82</v>
      </c>
      <c r="B132" s="35">
        <v>1034571</v>
      </c>
      <c r="C132" s="32">
        <v>975109</v>
      </c>
      <c r="D132" s="89">
        <v>1206616</v>
      </c>
      <c r="E132" s="32">
        <v>1165297</v>
      </c>
      <c r="F132" s="32">
        <v>959949</v>
      </c>
      <c r="G132" s="35">
        <v>1134656</v>
      </c>
      <c r="H132" s="32">
        <v>1092675</v>
      </c>
      <c r="I132" s="32">
        <v>1368933</v>
      </c>
      <c r="J132" s="32">
        <v>1505148</v>
      </c>
      <c r="K132" s="232">
        <v>1610816</v>
      </c>
      <c r="L132" s="232">
        <v>1577749</v>
      </c>
      <c r="M132" s="232">
        <v>1894604</v>
      </c>
      <c r="N132" s="232">
        <v>2139613</v>
      </c>
    </row>
    <row r="133" spans="1:14" x14ac:dyDescent="0.2">
      <c r="A133" s="69" t="s">
        <v>367</v>
      </c>
      <c r="B133" s="35"/>
      <c r="C133" s="32"/>
      <c r="D133" s="89"/>
      <c r="E133" s="32"/>
      <c r="F133" s="32">
        <v>525514</v>
      </c>
      <c r="G133" s="35">
        <v>336895</v>
      </c>
      <c r="H133" s="32">
        <v>383963</v>
      </c>
      <c r="I133" s="32">
        <v>382283</v>
      </c>
      <c r="J133" s="32">
        <v>378880</v>
      </c>
      <c r="K133" s="232">
        <v>398966</v>
      </c>
      <c r="L133" s="232">
        <v>390442</v>
      </c>
      <c r="M133" s="232">
        <v>354389</v>
      </c>
      <c r="N133" s="232">
        <v>269413</v>
      </c>
    </row>
    <row r="134" spans="1:14" x14ac:dyDescent="0.2">
      <c r="A134" s="68" t="s">
        <v>83</v>
      </c>
      <c r="B134" s="35">
        <f>SUM(B131:B132)</f>
        <v>1109811</v>
      </c>
      <c r="C134" s="35">
        <f t="shared" ref="C134" si="54">SUM(C131:C132)</f>
        <v>1030008</v>
      </c>
      <c r="D134" s="306">
        <f t="shared" ref="D134:N134" si="55">SUM(D131:D133)</f>
        <v>1254929</v>
      </c>
      <c r="E134" s="35">
        <f t="shared" si="55"/>
        <v>1215964</v>
      </c>
      <c r="F134" s="35">
        <f t="shared" si="55"/>
        <v>1533730</v>
      </c>
      <c r="G134" s="35">
        <f t="shared" si="55"/>
        <v>1530398</v>
      </c>
      <c r="H134" s="34">
        <f t="shared" si="55"/>
        <v>1532913</v>
      </c>
      <c r="I134" s="34">
        <f t="shared" si="55"/>
        <v>1804797</v>
      </c>
      <c r="J134" s="34">
        <f t="shared" si="55"/>
        <v>1939980</v>
      </c>
      <c r="K134" s="233">
        <f t="shared" si="55"/>
        <v>2057688</v>
      </c>
      <c r="L134" s="233">
        <f t="shared" si="55"/>
        <v>2012012</v>
      </c>
      <c r="M134" s="233">
        <f t="shared" si="55"/>
        <v>2294266</v>
      </c>
      <c r="N134" s="233">
        <f t="shared" si="55"/>
        <v>2456330</v>
      </c>
    </row>
    <row r="135" spans="1:14" ht="10.9" customHeight="1" x14ac:dyDescent="0.2">
      <c r="A135" s="132" t="s">
        <v>188</v>
      </c>
      <c r="B135" s="40"/>
      <c r="C135" s="40">
        <f t="shared" ref="C135:J135" si="56">(C134-B134)/B134</f>
        <v>-7.1906838191367714E-2</v>
      </c>
      <c r="D135" s="132">
        <f t="shared" si="56"/>
        <v>0.21836820684887884</v>
      </c>
      <c r="E135" s="40">
        <f t="shared" si="56"/>
        <v>-3.1049565353896514E-2</v>
      </c>
      <c r="F135" s="40">
        <f t="shared" si="56"/>
        <v>0.26132846038205076</v>
      </c>
      <c r="G135" s="40">
        <f t="shared" si="56"/>
        <v>-2.1724814667509929E-3</v>
      </c>
      <c r="H135" s="40">
        <f t="shared" si="56"/>
        <v>1.6433633603807638E-3</v>
      </c>
      <c r="I135" s="40">
        <f t="shared" si="56"/>
        <v>0.17736427311921812</v>
      </c>
      <c r="J135" s="40">
        <f t="shared" si="56"/>
        <v>7.4902052696231208E-2</v>
      </c>
      <c r="K135" s="40">
        <f>(K134-J134)/J134</f>
        <v>6.0674852318065138E-2</v>
      </c>
      <c r="L135" s="40">
        <f>(L134-K134)/K134</f>
        <v>-2.2197728713002164E-2</v>
      </c>
      <c r="M135" s="40">
        <f>(M134-L134)/L134</f>
        <v>0.14028445158378777</v>
      </c>
      <c r="N135" s="40">
        <f>(N134-M134)/M134</f>
        <v>7.0638714081104809E-2</v>
      </c>
    </row>
    <row r="136" spans="1:14" x14ac:dyDescent="0.2">
      <c r="A136" s="68" t="s">
        <v>26</v>
      </c>
      <c r="B136" s="36">
        <f>SUM(B134,B129)</f>
        <v>5506724</v>
      </c>
      <c r="C136" s="36">
        <f t="shared" ref="C136:J136" si="57">SUM(C134,C129)</f>
        <v>5379029</v>
      </c>
      <c r="D136" s="307">
        <f t="shared" si="57"/>
        <v>5266193</v>
      </c>
      <c r="E136" s="36">
        <f t="shared" si="57"/>
        <v>5356887</v>
      </c>
      <c r="F136" s="36">
        <f t="shared" si="57"/>
        <v>5721101</v>
      </c>
      <c r="G136" s="36">
        <f t="shared" si="57"/>
        <v>5484050</v>
      </c>
      <c r="H136" s="39">
        <f t="shared" si="57"/>
        <v>5564427</v>
      </c>
      <c r="I136" s="39">
        <f t="shared" si="57"/>
        <v>5886491</v>
      </c>
      <c r="J136" s="39">
        <f t="shared" si="57"/>
        <v>6404668</v>
      </c>
      <c r="K136" s="36">
        <f>SUM(K134,K129)</f>
        <v>6828129</v>
      </c>
      <c r="L136" s="36">
        <f>SUM(L134,L129)</f>
        <v>6705218</v>
      </c>
      <c r="M136" s="36">
        <f>SUM(M134,M129)</f>
        <v>7039778</v>
      </c>
      <c r="N136" s="36">
        <f>SUM(N134,N129)</f>
        <v>7109140</v>
      </c>
    </row>
    <row r="137" spans="1:14" x14ac:dyDescent="0.2">
      <c r="A137" s="69" t="s">
        <v>57</v>
      </c>
      <c r="B137" s="35">
        <v>100424</v>
      </c>
      <c r="C137" s="32">
        <v>1871</v>
      </c>
      <c r="D137" s="89">
        <v>157170</v>
      </c>
      <c r="E137" s="32">
        <v>240034</v>
      </c>
      <c r="F137" s="32">
        <v>220834</v>
      </c>
      <c r="G137" s="35">
        <v>370353</v>
      </c>
      <c r="H137" s="32">
        <v>336023</v>
      </c>
      <c r="I137" s="32">
        <v>331489</v>
      </c>
      <c r="J137" s="32">
        <v>373290</v>
      </c>
      <c r="K137" s="232">
        <v>42083</v>
      </c>
      <c r="L137" s="232">
        <v>127133</v>
      </c>
      <c r="M137" s="232">
        <v>389908</v>
      </c>
      <c r="N137" s="232">
        <v>924495</v>
      </c>
    </row>
    <row r="138" spans="1:14" x14ac:dyDescent="0.2">
      <c r="A138" s="68" t="s">
        <v>84</v>
      </c>
      <c r="B138" s="36">
        <f>SUM(B136:B137)</f>
        <v>5607148</v>
      </c>
      <c r="C138" s="36">
        <f t="shared" ref="C138:H138" si="58">SUM(C136:C137)</f>
        <v>5380900</v>
      </c>
      <c r="D138" s="307">
        <f t="shared" si="58"/>
        <v>5423363</v>
      </c>
      <c r="E138" s="36">
        <f>SUM(E136:E137)</f>
        <v>5596921</v>
      </c>
      <c r="F138" s="36">
        <f t="shared" si="58"/>
        <v>5941935</v>
      </c>
      <c r="G138" s="36">
        <f t="shared" si="58"/>
        <v>5854403</v>
      </c>
      <c r="H138" s="39">
        <f t="shared" si="58"/>
        <v>5900450</v>
      </c>
      <c r="I138" s="39">
        <f t="shared" ref="I138:N138" si="59">SUM(I136:I137)</f>
        <v>6217980</v>
      </c>
      <c r="J138" s="39">
        <f t="shared" si="59"/>
        <v>6777958</v>
      </c>
      <c r="K138" s="36">
        <f t="shared" si="59"/>
        <v>6870212</v>
      </c>
      <c r="L138" s="36">
        <f>SUM(L136:L137)</f>
        <v>6832351</v>
      </c>
      <c r="M138" s="36">
        <f>SUM(M136:M137)</f>
        <v>7429686</v>
      </c>
      <c r="N138" s="36">
        <f t="shared" si="59"/>
        <v>8033635</v>
      </c>
    </row>
    <row r="139" spans="1:14" ht="10.9" customHeight="1" x14ac:dyDescent="0.2">
      <c r="A139" s="132" t="s">
        <v>188</v>
      </c>
      <c r="B139" s="40"/>
      <c r="C139" s="40">
        <f t="shared" ref="C139:J139" si="60">(C138-B138)/B138</f>
        <v>-4.0349924774591289E-2</v>
      </c>
      <c r="D139" s="132">
        <f t="shared" si="60"/>
        <v>7.8914308015387759E-3</v>
      </c>
      <c r="E139" s="40">
        <f t="shared" si="60"/>
        <v>3.2001914679139126E-2</v>
      </c>
      <c r="F139" s="40">
        <f t="shared" si="60"/>
        <v>6.1643535794055342E-2</v>
      </c>
      <c r="G139" s="40">
        <f t="shared" si="60"/>
        <v>-1.4731228126864396E-2</v>
      </c>
      <c r="H139" s="40">
        <f t="shared" si="60"/>
        <v>7.8653621897911714E-3</v>
      </c>
      <c r="I139" s="40">
        <f t="shared" si="60"/>
        <v>5.3814539569015919E-2</v>
      </c>
      <c r="J139" s="40">
        <f t="shared" si="60"/>
        <v>9.0057864451156169E-2</v>
      </c>
      <c r="K139" s="40">
        <f>(K138-J138)/J138</f>
        <v>1.3610883986002863E-2</v>
      </c>
      <c r="L139" s="40">
        <f>(L138-K138)/K138</f>
        <v>-5.5108925314095109E-3</v>
      </c>
      <c r="M139" s="40">
        <f>(M138-L138)/L138</f>
        <v>8.7427446277277027E-2</v>
      </c>
      <c r="N139" s="40">
        <f>(N138-M138)/M138</f>
        <v>8.1288630502015832E-2</v>
      </c>
    </row>
    <row r="140" spans="1:14" x14ac:dyDescent="0.2">
      <c r="A140" s="68" t="s">
        <v>85</v>
      </c>
      <c r="B140" s="65"/>
      <c r="C140" s="71"/>
      <c r="D140" s="387"/>
      <c r="E140" s="32"/>
      <c r="F140" s="55"/>
      <c r="G140" s="36"/>
      <c r="H140" s="52"/>
      <c r="I140" s="52"/>
      <c r="J140" s="55"/>
      <c r="K140" s="234"/>
      <c r="L140" s="234"/>
      <c r="M140" s="234"/>
      <c r="N140" s="234"/>
    </row>
    <row r="141" spans="1:14" x14ac:dyDescent="0.2">
      <c r="A141" s="69" t="s">
        <v>264</v>
      </c>
      <c r="B141" s="65"/>
      <c r="C141" s="71"/>
      <c r="D141" s="387"/>
      <c r="E141" s="32"/>
      <c r="F141" s="55"/>
      <c r="G141" s="36"/>
      <c r="H141" s="52"/>
      <c r="I141" s="32">
        <v>0</v>
      </c>
      <c r="J141" s="32">
        <v>0</v>
      </c>
      <c r="K141" s="32">
        <v>0</v>
      </c>
      <c r="L141" s="32">
        <v>758</v>
      </c>
      <c r="M141" s="32">
        <v>0</v>
      </c>
      <c r="N141" s="32">
        <v>0</v>
      </c>
    </row>
    <row r="142" spans="1:14" x14ac:dyDescent="0.2">
      <c r="A142" s="69" t="s">
        <v>62</v>
      </c>
      <c r="B142" s="35">
        <v>3174181</v>
      </c>
      <c r="C142" s="32">
        <v>3333880</v>
      </c>
      <c r="D142" s="89">
        <v>4065696</v>
      </c>
      <c r="E142" s="32">
        <v>3987855</v>
      </c>
      <c r="F142" s="32">
        <v>3685468</v>
      </c>
      <c r="G142" s="35">
        <v>4080775</v>
      </c>
      <c r="H142" s="32">
        <v>4978155</v>
      </c>
      <c r="I142" s="32">
        <v>5136734</v>
      </c>
      <c r="J142" s="32">
        <v>5192080</v>
      </c>
      <c r="K142" s="234">
        <v>5110324</v>
      </c>
      <c r="L142" s="234">
        <v>6901820</v>
      </c>
      <c r="M142" s="234">
        <v>5422649</v>
      </c>
      <c r="N142" s="234">
        <v>5696057</v>
      </c>
    </row>
    <row r="143" spans="1:14" x14ac:dyDescent="0.2">
      <c r="A143" s="69" t="s">
        <v>63</v>
      </c>
      <c r="B143" s="35">
        <v>2075744</v>
      </c>
      <c r="C143" s="32">
        <v>1856206</v>
      </c>
      <c r="D143" s="89">
        <v>2395519</v>
      </c>
      <c r="E143" s="32">
        <v>2881209</v>
      </c>
      <c r="F143" s="32">
        <v>1079044</v>
      </c>
      <c r="G143" s="35">
        <v>1084060</v>
      </c>
      <c r="H143" s="32">
        <v>1259884</v>
      </c>
      <c r="I143" s="32">
        <v>1761852</v>
      </c>
      <c r="J143" s="32">
        <v>1896766</v>
      </c>
      <c r="K143" s="234">
        <v>2018119</v>
      </c>
      <c r="L143" s="234">
        <v>1959327</v>
      </c>
      <c r="M143" s="234">
        <v>2460504</v>
      </c>
      <c r="N143" s="234">
        <v>1434689</v>
      </c>
    </row>
    <row r="144" spans="1:14" x14ac:dyDescent="0.2">
      <c r="A144" s="69" t="s">
        <v>64</v>
      </c>
      <c r="B144" s="32">
        <v>0</v>
      </c>
      <c r="C144" s="32">
        <v>0</v>
      </c>
      <c r="D144" s="89">
        <v>0</v>
      </c>
      <c r="E144" s="32">
        <v>0</v>
      </c>
      <c r="F144" s="32">
        <v>1752291</v>
      </c>
      <c r="G144" s="35">
        <v>1865436</v>
      </c>
      <c r="H144" s="32">
        <v>1894432</v>
      </c>
      <c r="I144" s="32">
        <v>3085005</v>
      </c>
      <c r="J144" s="32">
        <v>3454730</v>
      </c>
      <c r="K144" s="234">
        <v>3564817</v>
      </c>
      <c r="L144" s="234">
        <v>3824301</v>
      </c>
      <c r="M144" s="234">
        <v>4168010</v>
      </c>
      <c r="N144" s="234">
        <v>2415631</v>
      </c>
    </row>
    <row r="145" spans="1:16" x14ac:dyDescent="0.2">
      <c r="A145" s="68" t="s">
        <v>86</v>
      </c>
      <c r="B145" s="36">
        <f>SUM(B142:B144)</f>
        <v>5249925</v>
      </c>
      <c r="C145" s="36">
        <f t="shared" ref="C145:J145" si="61">SUM(C142:C144)</f>
        <v>5190086</v>
      </c>
      <c r="D145" s="307">
        <f t="shared" si="61"/>
        <v>6461215</v>
      </c>
      <c r="E145" s="36">
        <f t="shared" si="61"/>
        <v>6869064</v>
      </c>
      <c r="F145" s="36">
        <f t="shared" si="61"/>
        <v>6516803</v>
      </c>
      <c r="G145" s="36">
        <f t="shared" si="61"/>
        <v>7030271</v>
      </c>
      <c r="H145" s="36">
        <f t="shared" si="61"/>
        <v>8132471</v>
      </c>
      <c r="I145" s="36">
        <f t="shared" si="61"/>
        <v>9983591</v>
      </c>
      <c r="J145" s="36">
        <f t="shared" si="61"/>
        <v>10543576</v>
      </c>
      <c r="K145" s="235">
        <f>SUM(K142:K144)</f>
        <v>10693260</v>
      </c>
      <c r="L145" s="235">
        <f>SUM(L141:L144)</f>
        <v>12686206</v>
      </c>
      <c r="M145" s="235">
        <f>SUM(M141:M144)</f>
        <v>12051163</v>
      </c>
      <c r="N145" s="235">
        <f>SUM(N141:N144)</f>
        <v>9546377</v>
      </c>
    </row>
    <row r="146" spans="1:16" ht="10.9" customHeight="1" x14ac:dyDescent="0.2">
      <c r="A146" s="132" t="s">
        <v>188</v>
      </c>
      <c r="B146" s="40"/>
      <c r="C146" s="40">
        <f t="shared" ref="C146:J146" si="62">(C145-B145)/B145</f>
        <v>-1.1398067591441782E-2</v>
      </c>
      <c r="D146" s="132">
        <f t="shared" si="62"/>
        <v>0.24491482414742261</v>
      </c>
      <c r="E146" s="40">
        <f t="shared" si="62"/>
        <v>6.3122647984937816E-2</v>
      </c>
      <c r="F146" s="40">
        <f t="shared" si="62"/>
        <v>-5.1282241656214006E-2</v>
      </c>
      <c r="G146" s="40">
        <f t="shared" si="62"/>
        <v>7.8791395105851744E-2</v>
      </c>
      <c r="H146" s="40">
        <f t="shared" si="62"/>
        <v>0.1567791625671329</v>
      </c>
      <c r="I146" s="40">
        <f t="shared" si="62"/>
        <v>0.22762085471930979</v>
      </c>
      <c r="J146" s="40">
        <f t="shared" si="62"/>
        <v>5.6090538965388306E-2</v>
      </c>
      <c r="K146" s="40">
        <f>(K145-J145)/J145</f>
        <v>1.4196701384805306E-2</v>
      </c>
      <c r="L146" s="40">
        <f>(L145-K145)/K145</f>
        <v>0.18637403373713909</v>
      </c>
      <c r="M146" s="40">
        <f>(M145-L145)/L145</f>
        <v>-5.0057755644201271E-2</v>
      </c>
      <c r="N146" s="40">
        <f>(N145-M145)/M145</f>
        <v>-0.20784599793397535</v>
      </c>
    </row>
    <row r="147" spans="1:16" x14ac:dyDescent="0.2">
      <c r="A147" s="75" t="s">
        <v>87</v>
      </c>
      <c r="B147" s="74">
        <f t="shared" ref="B147:I147" si="63">SUM(B109+B121+B123-B138)</f>
        <v>5249925</v>
      </c>
      <c r="C147" s="74">
        <f t="shared" si="63"/>
        <v>5190085.9656907618</v>
      </c>
      <c r="D147" s="309">
        <f t="shared" si="63"/>
        <v>6461215.2004698776</v>
      </c>
      <c r="E147" s="74">
        <f t="shared" si="63"/>
        <v>6869063.8820172846</v>
      </c>
      <c r="F147" s="74">
        <f t="shared" si="63"/>
        <v>6516802.9804815575</v>
      </c>
      <c r="G147" s="74">
        <f t="shared" si="63"/>
        <v>7030271.1407905184</v>
      </c>
      <c r="H147" s="74">
        <f t="shared" si="63"/>
        <v>8132471.0235546883</v>
      </c>
      <c r="I147" s="74">
        <f t="shared" si="63"/>
        <v>9983591.1110413689</v>
      </c>
      <c r="J147" s="74">
        <f>SUM(J109+J121+J123-J138)</f>
        <v>10543575.913726106</v>
      </c>
      <c r="K147" s="74">
        <f>SUM(K109+K121+K123-K138)</f>
        <v>10693260</v>
      </c>
      <c r="L147" s="74">
        <f>SUM(L109+L121+L123-L138)</f>
        <v>12686206</v>
      </c>
      <c r="M147" s="74">
        <f>SUM(M109+M121+M123-M138)</f>
        <v>12051163</v>
      </c>
      <c r="N147" s="74">
        <f>SUM(N109+N121+N123-N138)</f>
        <v>9546377</v>
      </c>
    </row>
    <row r="148" spans="1:16" ht="12" customHeight="1" x14ac:dyDescent="0.2">
      <c r="A148" s="434" t="s">
        <v>209</v>
      </c>
      <c r="B148" s="435">
        <f>SUM(B145/B138)</f>
        <v>0.93629149792372168</v>
      </c>
      <c r="C148" s="435">
        <f t="shared" ref="C148:J148" si="64">SUM(C145/C138)</f>
        <v>0.9645386459514208</v>
      </c>
      <c r="D148" s="436">
        <f t="shared" si="64"/>
        <v>1.191366869597333</v>
      </c>
      <c r="E148" s="435">
        <f t="shared" si="64"/>
        <v>1.2272933636190326</v>
      </c>
      <c r="F148" s="435">
        <f t="shared" si="64"/>
        <v>1.0967476083127803</v>
      </c>
      <c r="G148" s="435">
        <f t="shared" si="64"/>
        <v>1.2008519058219942</v>
      </c>
      <c r="H148" s="435">
        <f t="shared" si="64"/>
        <v>1.3782797922192376</v>
      </c>
      <c r="I148" s="435">
        <f t="shared" si="64"/>
        <v>1.6056003718249334</v>
      </c>
      <c r="J148" s="435">
        <f t="shared" si="64"/>
        <v>1.5555682109567512</v>
      </c>
      <c r="K148" s="435">
        <f>SUM(K145/K138)</f>
        <v>1.5564672531211554</v>
      </c>
      <c r="L148" s="435">
        <f>SUM(L145/L138)</f>
        <v>1.8567848753672052</v>
      </c>
      <c r="M148" s="435">
        <f>SUM(M145/M138)</f>
        <v>1.6220285756356325</v>
      </c>
      <c r="N148" s="435">
        <f>SUM(N145/N138)</f>
        <v>1.1883010617236158</v>
      </c>
    </row>
    <row r="149" spans="1:16" s="433" customFormat="1" ht="6" customHeight="1" x14ac:dyDescent="0.2">
      <c r="A149" s="137"/>
      <c r="B149" s="145"/>
      <c r="C149" s="145"/>
      <c r="D149" s="145"/>
      <c r="E149" s="401"/>
      <c r="F149" s="411"/>
      <c r="G149" s="316"/>
      <c r="H149" s="316"/>
      <c r="I149" s="316"/>
      <c r="J149" s="316"/>
      <c r="K149" s="337"/>
      <c r="L149" s="337"/>
      <c r="M149" s="337"/>
      <c r="N149" s="337"/>
    </row>
    <row r="150" spans="1:16" x14ac:dyDescent="0.2">
      <c r="A150" s="111"/>
      <c r="B150" s="18" t="s">
        <v>116</v>
      </c>
      <c r="C150" s="76" t="s">
        <v>115</v>
      </c>
      <c r="D150" s="381" t="s">
        <v>127</v>
      </c>
      <c r="E150" s="76" t="s">
        <v>113</v>
      </c>
      <c r="F150" s="445" t="s">
        <v>137</v>
      </c>
      <c r="G150" s="404" t="s">
        <v>125</v>
      </c>
      <c r="H150" s="20" t="s">
        <v>124</v>
      </c>
      <c r="I150" s="76" t="s">
        <v>194</v>
      </c>
      <c r="J150" s="77" t="s">
        <v>193</v>
      </c>
      <c r="K150" s="237" t="s">
        <v>249</v>
      </c>
      <c r="L150" s="326" t="str">
        <f>L2</f>
        <v>CY'2016</v>
      </c>
      <c r="M150" s="368" t="str">
        <f>M2</f>
        <v>CY'2017</v>
      </c>
      <c r="N150" s="326" t="str">
        <f>N2</f>
        <v>CY'2018</v>
      </c>
      <c r="O150" s="25" t="s">
        <v>373</v>
      </c>
      <c r="P150" s="25" t="s">
        <v>374</v>
      </c>
    </row>
    <row r="151" spans="1:16" x14ac:dyDescent="0.2">
      <c r="A151" s="141" t="s">
        <v>92</v>
      </c>
      <c r="B151" s="64" t="s">
        <v>151</v>
      </c>
      <c r="C151" s="129" t="s">
        <v>150</v>
      </c>
      <c r="D151" s="304" t="s">
        <v>149</v>
      </c>
      <c r="E151" s="129" t="s">
        <v>148</v>
      </c>
      <c r="F151" s="420" t="s">
        <v>147</v>
      </c>
      <c r="G151" s="405" t="s">
        <v>146</v>
      </c>
      <c r="H151" s="64" t="s">
        <v>145</v>
      </c>
      <c r="I151" s="129" t="s">
        <v>200</v>
      </c>
      <c r="J151" s="126" t="s">
        <v>199</v>
      </c>
      <c r="K151" s="238" t="s">
        <v>252</v>
      </c>
      <c r="L151" s="327" t="s">
        <v>260</v>
      </c>
      <c r="M151" s="238" t="s">
        <v>281</v>
      </c>
      <c r="N151" s="327" t="s">
        <v>289</v>
      </c>
    </row>
    <row r="152" spans="1:16" x14ac:dyDescent="0.2">
      <c r="A152" s="88" t="s">
        <v>61</v>
      </c>
      <c r="B152" s="27"/>
      <c r="C152" s="79"/>
      <c r="D152" s="88"/>
      <c r="E152" s="79"/>
      <c r="F152" s="140"/>
      <c r="G152" s="415"/>
      <c r="H152" s="27"/>
      <c r="I152" s="79"/>
      <c r="J152" s="27"/>
      <c r="K152" s="239"/>
      <c r="L152" s="333"/>
      <c r="M152" s="239"/>
      <c r="N152" s="333"/>
    </row>
    <row r="153" spans="1:16" x14ac:dyDescent="0.2">
      <c r="A153" s="69" t="s">
        <v>264</v>
      </c>
      <c r="B153" s="27"/>
      <c r="C153" s="79"/>
      <c r="D153" s="88"/>
      <c r="E153" s="79"/>
      <c r="F153" s="140"/>
      <c r="G153" s="415"/>
      <c r="H153" s="27"/>
      <c r="I153" s="81">
        <v>0</v>
      </c>
      <c r="J153" s="44">
        <v>0</v>
      </c>
      <c r="K153" s="242">
        <v>0</v>
      </c>
      <c r="L153" s="322">
        <v>758</v>
      </c>
      <c r="M153" s="242">
        <v>0</v>
      </c>
      <c r="N153" s="322">
        <v>0</v>
      </c>
    </row>
    <row r="154" spans="1:16" x14ac:dyDescent="0.2">
      <c r="A154" s="69" t="s">
        <v>62</v>
      </c>
      <c r="B154" s="32">
        <v>3174181</v>
      </c>
      <c r="C154" s="80">
        <v>3333880</v>
      </c>
      <c r="D154" s="89">
        <v>4065696</v>
      </c>
      <c r="E154" s="80">
        <v>3987855</v>
      </c>
      <c r="F154" s="408">
        <v>3685468</v>
      </c>
      <c r="G154" s="406">
        <v>4080775</v>
      </c>
      <c r="H154" s="32">
        <v>4978155</v>
      </c>
      <c r="I154" s="80">
        <v>5136734</v>
      </c>
      <c r="J154" s="159">
        <v>5192080</v>
      </c>
      <c r="K154" s="240">
        <v>5110324</v>
      </c>
      <c r="L154" s="234">
        <v>6901820</v>
      </c>
      <c r="M154" s="369">
        <v>5422649</v>
      </c>
      <c r="N154" s="232">
        <v>5696057</v>
      </c>
    </row>
    <row r="155" spans="1:16" x14ac:dyDescent="0.2">
      <c r="A155" s="69" t="s">
        <v>63</v>
      </c>
      <c r="B155" s="32">
        <v>2075744</v>
      </c>
      <c r="C155" s="80">
        <v>1856206</v>
      </c>
      <c r="D155" s="89">
        <v>2395519</v>
      </c>
      <c r="E155" s="80">
        <v>2881209</v>
      </c>
      <c r="F155" s="408">
        <v>1079044</v>
      </c>
      <c r="G155" s="406">
        <v>1084060</v>
      </c>
      <c r="H155" s="32">
        <v>1259884</v>
      </c>
      <c r="I155" s="80">
        <v>1761852</v>
      </c>
      <c r="J155" s="159">
        <v>1896766</v>
      </c>
      <c r="K155" s="240">
        <v>2018119</v>
      </c>
      <c r="L155" s="234">
        <v>1959327</v>
      </c>
      <c r="M155" s="369">
        <v>2460504</v>
      </c>
      <c r="N155" s="232">
        <v>1434689</v>
      </c>
    </row>
    <row r="156" spans="1:16" x14ac:dyDescent="0.2">
      <c r="A156" s="69" t="s">
        <v>64</v>
      </c>
      <c r="B156" s="35">
        <v>0</v>
      </c>
      <c r="C156" s="80">
        <v>0</v>
      </c>
      <c r="D156" s="306">
        <v>0</v>
      </c>
      <c r="E156" s="80">
        <v>0</v>
      </c>
      <c r="F156" s="408">
        <v>1752291</v>
      </c>
      <c r="G156" s="406">
        <v>1865436</v>
      </c>
      <c r="H156" s="32">
        <v>1894432</v>
      </c>
      <c r="I156" s="80">
        <v>3085005</v>
      </c>
      <c r="J156" s="159">
        <v>3454730</v>
      </c>
      <c r="K156" s="240">
        <v>3564817</v>
      </c>
      <c r="L156" s="234">
        <v>3824301</v>
      </c>
      <c r="M156" s="369">
        <v>4168010</v>
      </c>
      <c r="N156" s="232">
        <v>2415631</v>
      </c>
    </row>
    <row r="157" spans="1:16" x14ac:dyDescent="0.2">
      <c r="A157" s="69" t="s">
        <v>65</v>
      </c>
      <c r="B157" s="35">
        <f>SUM(B154:B156)</f>
        <v>5249925</v>
      </c>
      <c r="C157" s="80">
        <f t="shared" ref="C157:K157" si="65">SUM(C154:C156)</f>
        <v>5190086</v>
      </c>
      <c r="D157" s="306">
        <f t="shared" si="65"/>
        <v>6461215</v>
      </c>
      <c r="E157" s="80">
        <f t="shared" si="65"/>
        <v>6869064</v>
      </c>
      <c r="F157" s="421">
        <f t="shared" si="65"/>
        <v>6516803</v>
      </c>
      <c r="G157" s="406">
        <f t="shared" si="65"/>
        <v>7030271</v>
      </c>
      <c r="H157" s="34">
        <f t="shared" si="65"/>
        <v>8132471</v>
      </c>
      <c r="I157" s="80">
        <f t="shared" si="65"/>
        <v>9983591</v>
      </c>
      <c r="J157" s="275">
        <f t="shared" si="65"/>
        <v>10543576</v>
      </c>
      <c r="K157" s="240">
        <f t="shared" si="65"/>
        <v>10693260</v>
      </c>
      <c r="L157" s="233">
        <f>SUM(L153:L156)</f>
        <v>12686206</v>
      </c>
      <c r="M157" s="240">
        <f>SUM(M153:M156)</f>
        <v>12051163</v>
      </c>
      <c r="N157" s="233">
        <f>SUM(N153:N156)</f>
        <v>9546377</v>
      </c>
    </row>
    <row r="158" spans="1:16" x14ac:dyDescent="0.2">
      <c r="A158" s="69" t="s">
        <v>66</v>
      </c>
      <c r="B158" s="32">
        <v>-392</v>
      </c>
      <c r="C158" s="80">
        <v>91583</v>
      </c>
      <c r="D158" s="306">
        <v>20640</v>
      </c>
      <c r="E158" s="80">
        <v>41702</v>
      </c>
      <c r="F158" s="408">
        <v>34667</v>
      </c>
      <c r="G158" s="418">
        <v>-991</v>
      </c>
      <c r="H158" s="34">
        <v>15820</v>
      </c>
      <c r="I158" s="81">
        <v>45226</v>
      </c>
      <c r="J158" s="275">
        <v>-9617</v>
      </c>
      <c r="K158" s="240">
        <v>18505</v>
      </c>
      <c r="L158" s="233">
        <v>-8361</v>
      </c>
      <c r="M158" s="240">
        <v>-372046</v>
      </c>
      <c r="N158" s="233">
        <v>0</v>
      </c>
    </row>
    <row r="159" spans="1:16" x14ac:dyDescent="0.2">
      <c r="A159" s="68" t="s">
        <v>67</v>
      </c>
      <c r="B159" s="52">
        <f>SUM(B157:B158)</f>
        <v>5249533</v>
      </c>
      <c r="C159" s="82">
        <f t="shared" ref="C159:K159" si="66">SUM(C157:C158)</f>
        <v>5281669</v>
      </c>
      <c r="D159" s="307">
        <f t="shared" si="66"/>
        <v>6481855</v>
      </c>
      <c r="E159" s="82">
        <f t="shared" si="66"/>
        <v>6910766</v>
      </c>
      <c r="F159" s="423">
        <f t="shared" si="66"/>
        <v>6551470</v>
      </c>
      <c r="G159" s="407">
        <f t="shared" si="66"/>
        <v>7029280</v>
      </c>
      <c r="H159" s="39">
        <f t="shared" si="66"/>
        <v>8148291</v>
      </c>
      <c r="I159" s="82">
        <f t="shared" si="66"/>
        <v>10028817</v>
      </c>
      <c r="J159" s="449">
        <f t="shared" si="66"/>
        <v>10533959</v>
      </c>
      <c r="K159" s="241">
        <f t="shared" si="66"/>
        <v>10711765</v>
      </c>
      <c r="L159" s="235">
        <f t="shared" ref="L159:N159" si="67">SUM(L157:L158)</f>
        <v>12677845</v>
      </c>
      <c r="M159" s="241">
        <f t="shared" si="67"/>
        <v>11679117</v>
      </c>
      <c r="N159" s="235">
        <f t="shared" si="67"/>
        <v>9546377</v>
      </c>
      <c r="O159" s="294">
        <f>N159-M159</f>
        <v>-2132740</v>
      </c>
      <c r="P159" s="294">
        <f>N159-(AVERAGE(J159:L159))</f>
        <v>-1761479.333333334</v>
      </c>
    </row>
    <row r="160" spans="1:16" ht="10.9" customHeight="1" x14ac:dyDescent="0.2">
      <c r="A160" s="132" t="s">
        <v>188</v>
      </c>
      <c r="B160" s="40"/>
      <c r="C160" s="40">
        <f t="shared" ref="C160:J160" si="68">(C159-B159)/B159</f>
        <v>6.1216873958121606E-3</v>
      </c>
      <c r="D160" s="132">
        <f t="shared" si="68"/>
        <v>0.22723612555046521</v>
      </c>
      <c r="E160" s="40">
        <f t="shared" si="68"/>
        <v>6.6171026658263729E-2</v>
      </c>
      <c r="F160" s="424">
        <f t="shared" si="68"/>
        <v>-5.1990763397284756E-2</v>
      </c>
      <c r="G160" s="399">
        <f t="shared" si="68"/>
        <v>7.2931723720020089E-2</v>
      </c>
      <c r="H160" s="40">
        <f t="shared" si="68"/>
        <v>0.15919283340541279</v>
      </c>
      <c r="I160" s="40">
        <f t="shared" si="68"/>
        <v>0.23078778114330969</v>
      </c>
      <c r="J160" s="40">
        <f t="shared" si="68"/>
        <v>5.0369051504280116E-2</v>
      </c>
      <c r="K160" s="224">
        <f>(K159-J159)/J159</f>
        <v>1.687931384581998E-2</v>
      </c>
      <c r="L160" s="224">
        <f>(L159-K159)/K159</f>
        <v>0.1835439817807803</v>
      </c>
      <c r="M160" s="224">
        <f>(M159-L159)/L159</f>
        <v>-7.877742628972037E-2</v>
      </c>
      <c r="N160" s="224">
        <f>(N159-M159)/M159</f>
        <v>-0.18261140803709733</v>
      </c>
    </row>
    <row r="161" spans="1:16" x14ac:dyDescent="0.2">
      <c r="A161" s="88" t="s">
        <v>68</v>
      </c>
      <c r="B161" s="41"/>
      <c r="C161" s="78"/>
      <c r="D161" s="305"/>
      <c r="E161" s="78"/>
      <c r="F161" s="409"/>
      <c r="G161" s="415"/>
      <c r="H161" s="447"/>
      <c r="I161" s="79"/>
      <c r="J161" s="27"/>
      <c r="K161" s="239"/>
      <c r="L161" s="333"/>
      <c r="M161" s="239"/>
      <c r="N161" s="333"/>
    </row>
    <row r="162" spans="1:16" x14ac:dyDescent="0.2">
      <c r="A162" s="69" t="s">
        <v>69</v>
      </c>
      <c r="B162" s="32">
        <v>0</v>
      </c>
      <c r="C162" s="80">
        <v>0</v>
      </c>
      <c r="D162" s="388">
        <v>0</v>
      </c>
      <c r="E162" s="80">
        <v>0</v>
      </c>
      <c r="F162" s="408">
        <v>0</v>
      </c>
      <c r="G162" s="416">
        <v>0</v>
      </c>
      <c r="H162" s="448">
        <v>0</v>
      </c>
      <c r="I162" s="81">
        <v>0</v>
      </c>
      <c r="J162" s="44">
        <v>0</v>
      </c>
      <c r="K162" s="242">
        <v>0</v>
      </c>
      <c r="L162" s="322">
        <v>0</v>
      </c>
      <c r="M162" s="242">
        <v>0</v>
      </c>
      <c r="N162" s="322">
        <v>0</v>
      </c>
    </row>
    <row r="163" spans="1:16" x14ac:dyDescent="0.2">
      <c r="A163" s="69" t="s">
        <v>70</v>
      </c>
      <c r="B163" s="32">
        <v>0</v>
      </c>
      <c r="C163" s="80">
        <v>0</v>
      </c>
      <c r="D163" s="388">
        <v>0</v>
      </c>
      <c r="E163" s="80">
        <v>0</v>
      </c>
      <c r="F163" s="408">
        <v>0</v>
      </c>
      <c r="G163" s="416">
        <v>0</v>
      </c>
      <c r="H163" s="448">
        <v>0</v>
      </c>
      <c r="I163" s="80">
        <v>0</v>
      </c>
      <c r="J163" s="44">
        <v>0</v>
      </c>
      <c r="K163" s="242">
        <v>0</v>
      </c>
      <c r="L163" s="322">
        <v>0</v>
      </c>
      <c r="M163" s="242">
        <v>0</v>
      </c>
      <c r="N163" s="322">
        <v>0</v>
      </c>
    </row>
    <row r="164" spans="1:16" x14ac:dyDescent="0.2">
      <c r="A164" s="69" t="s">
        <v>71</v>
      </c>
      <c r="B164" s="32">
        <v>0</v>
      </c>
      <c r="C164" s="80">
        <v>0</v>
      </c>
      <c r="D164" s="388">
        <v>0</v>
      </c>
      <c r="E164" s="80">
        <v>0</v>
      </c>
      <c r="F164" s="408">
        <v>0</v>
      </c>
      <c r="G164" s="416">
        <v>0</v>
      </c>
      <c r="H164" s="448">
        <v>0</v>
      </c>
      <c r="I164" s="80">
        <v>0</v>
      </c>
      <c r="J164" s="44">
        <v>0</v>
      </c>
      <c r="K164" s="242">
        <v>0</v>
      </c>
      <c r="L164" s="322">
        <v>0</v>
      </c>
      <c r="M164" s="242">
        <v>0</v>
      </c>
      <c r="N164" s="322">
        <v>0</v>
      </c>
    </row>
    <row r="165" spans="1:16" x14ac:dyDescent="0.2">
      <c r="A165" s="69" t="s">
        <v>72</v>
      </c>
      <c r="B165" s="32">
        <v>0</v>
      </c>
      <c r="C165" s="80">
        <v>0</v>
      </c>
      <c r="D165" s="388">
        <v>0</v>
      </c>
      <c r="E165" s="80">
        <v>0</v>
      </c>
      <c r="F165" s="408">
        <v>0</v>
      </c>
      <c r="G165" s="416">
        <v>0</v>
      </c>
      <c r="H165" s="448">
        <v>0</v>
      </c>
      <c r="I165" s="80">
        <v>0</v>
      </c>
      <c r="J165" s="44">
        <v>0</v>
      </c>
      <c r="K165" s="242">
        <v>0</v>
      </c>
      <c r="L165" s="322">
        <v>0</v>
      </c>
      <c r="M165" s="242">
        <v>0</v>
      </c>
      <c r="N165" s="322">
        <v>0</v>
      </c>
    </row>
    <row r="166" spans="1:16" x14ac:dyDescent="0.2">
      <c r="A166" s="69" t="s">
        <v>73</v>
      </c>
      <c r="B166" s="32">
        <v>0</v>
      </c>
      <c r="C166" s="80">
        <v>0</v>
      </c>
      <c r="D166" s="388">
        <v>0</v>
      </c>
      <c r="E166" s="80">
        <v>0</v>
      </c>
      <c r="F166" s="408">
        <v>0</v>
      </c>
      <c r="G166" s="416">
        <v>0</v>
      </c>
      <c r="H166" s="448">
        <v>0</v>
      </c>
      <c r="I166" s="80">
        <v>0</v>
      </c>
      <c r="J166" s="44">
        <v>0</v>
      </c>
      <c r="K166" s="242">
        <v>0</v>
      </c>
      <c r="L166" s="322">
        <v>0</v>
      </c>
      <c r="M166" s="242">
        <v>0</v>
      </c>
      <c r="N166" s="322">
        <v>0</v>
      </c>
    </row>
    <row r="167" spans="1:16" x14ac:dyDescent="0.2">
      <c r="A167" s="69" t="s">
        <v>74</v>
      </c>
      <c r="B167" s="32">
        <v>0</v>
      </c>
      <c r="C167" s="80">
        <v>0</v>
      </c>
      <c r="D167" s="388">
        <v>0</v>
      </c>
      <c r="E167" s="80">
        <v>0</v>
      </c>
      <c r="F167" s="408">
        <v>0</v>
      </c>
      <c r="G167" s="416">
        <v>0</v>
      </c>
      <c r="H167" s="448">
        <v>0</v>
      </c>
      <c r="I167" s="80">
        <v>0</v>
      </c>
      <c r="J167" s="44">
        <v>0</v>
      </c>
      <c r="K167" s="242">
        <v>0</v>
      </c>
      <c r="L167" s="322">
        <v>0</v>
      </c>
      <c r="M167" s="242">
        <v>0</v>
      </c>
      <c r="N167" s="322">
        <v>0</v>
      </c>
    </row>
    <row r="168" spans="1:16" x14ac:dyDescent="0.2">
      <c r="A168" s="72" t="s">
        <v>75</v>
      </c>
      <c r="B168" s="52">
        <f>SUM(B162:B167)</f>
        <v>0</v>
      </c>
      <c r="C168" s="82">
        <f t="shared" ref="C168:I168" si="69">SUM(C162:C167)</f>
        <v>0</v>
      </c>
      <c r="D168" s="307">
        <f t="shared" si="69"/>
        <v>0</v>
      </c>
      <c r="E168" s="82">
        <f t="shared" si="69"/>
        <v>0</v>
      </c>
      <c r="F168" s="423">
        <f t="shared" si="69"/>
        <v>0</v>
      </c>
      <c r="G168" s="407">
        <f t="shared" si="69"/>
        <v>0</v>
      </c>
      <c r="H168" s="39">
        <f t="shared" si="69"/>
        <v>0</v>
      </c>
      <c r="I168" s="82">
        <f t="shared" si="69"/>
        <v>0</v>
      </c>
      <c r="J168" s="60">
        <v>0</v>
      </c>
      <c r="K168" s="242">
        <v>0</v>
      </c>
      <c r="L168" s="322">
        <v>0</v>
      </c>
      <c r="M168" s="242">
        <v>0</v>
      </c>
      <c r="N168" s="322">
        <v>0</v>
      </c>
    </row>
    <row r="169" spans="1:16" ht="10.9" customHeight="1" x14ac:dyDescent="0.2">
      <c r="A169" s="132" t="s">
        <v>188</v>
      </c>
      <c r="B169" s="40">
        <v>0</v>
      </c>
      <c r="C169" s="40">
        <v>0</v>
      </c>
      <c r="D169" s="132">
        <v>0</v>
      </c>
      <c r="E169" s="40">
        <v>0</v>
      </c>
      <c r="F169" s="424">
        <v>0</v>
      </c>
      <c r="G169" s="399">
        <v>0</v>
      </c>
      <c r="H169" s="40">
        <v>0</v>
      </c>
      <c r="I169" s="40">
        <v>0</v>
      </c>
      <c r="J169" s="40">
        <v>0</v>
      </c>
      <c r="K169" s="224">
        <v>0</v>
      </c>
      <c r="L169" s="224">
        <v>0</v>
      </c>
      <c r="M169" s="224">
        <v>0</v>
      </c>
      <c r="N169" s="224">
        <v>0</v>
      </c>
    </row>
    <row r="170" spans="1:16" x14ac:dyDescent="0.2">
      <c r="A170" s="69" t="s">
        <v>76</v>
      </c>
      <c r="B170" s="32">
        <v>3725</v>
      </c>
      <c r="C170" s="80">
        <v>9215</v>
      </c>
      <c r="D170" s="306">
        <v>0</v>
      </c>
      <c r="E170" s="80">
        <v>4529</v>
      </c>
      <c r="F170" s="408">
        <v>4252</v>
      </c>
      <c r="G170" s="406">
        <v>1106</v>
      </c>
      <c r="H170" s="448">
        <v>0</v>
      </c>
      <c r="I170" s="80">
        <v>6759</v>
      </c>
      <c r="J170" s="159">
        <v>39188</v>
      </c>
      <c r="K170" s="240">
        <v>6657</v>
      </c>
      <c r="L170" s="233">
        <f>49597+15444</f>
        <v>65041</v>
      </c>
      <c r="M170" s="240">
        <v>48731</v>
      </c>
      <c r="N170" s="233">
        <v>40095</v>
      </c>
    </row>
    <row r="171" spans="1:16" x14ac:dyDescent="0.2">
      <c r="A171" s="68" t="s">
        <v>77</v>
      </c>
      <c r="B171" s="52">
        <f>SUM(B168+B170)</f>
        <v>3725</v>
      </c>
      <c r="C171" s="82">
        <f t="shared" ref="C171:K171" si="70">SUM(C168+C170)</f>
        <v>9215</v>
      </c>
      <c r="D171" s="143">
        <f t="shared" si="70"/>
        <v>0</v>
      </c>
      <c r="E171" s="82">
        <f t="shared" si="70"/>
        <v>4529</v>
      </c>
      <c r="F171" s="423">
        <f t="shared" si="70"/>
        <v>4252</v>
      </c>
      <c r="G171" s="407">
        <f t="shared" si="70"/>
        <v>1106</v>
      </c>
      <c r="H171" s="39">
        <f t="shared" si="70"/>
        <v>0</v>
      </c>
      <c r="I171" s="82">
        <f t="shared" si="70"/>
        <v>6759</v>
      </c>
      <c r="J171" s="449">
        <f t="shared" si="70"/>
        <v>39188</v>
      </c>
      <c r="K171" s="241">
        <f t="shared" si="70"/>
        <v>6657</v>
      </c>
      <c r="L171" s="235">
        <f t="shared" ref="L171:N171" si="71">SUM(L168+L170)</f>
        <v>65041</v>
      </c>
      <c r="M171" s="241">
        <f t="shared" si="71"/>
        <v>48731</v>
      </c>
      <c r="N171" s="235">
        <f t="shared" si="71"/>
        <v>40095</v>
      </c>
      <c r="O171" s="294">
        <f>N171-M171</f>
        <v>-8636</v>
      </c>
      <c r="P171" s="294">
        <f>N171-(AVERAGE(J171:L171))</f>
        <v>3133</v>
      </c>
    </row>
    <row r="172" spans="1:16" ht="10.9" customHeight="1" x14ac:dyDescent="0.2">
      <c r="A172" s="132" t="s">
        <v>188</v>
      </c>
      <c r="B172" s="40"/>
      <c r="C172" s="40">
        <f t="shared" ref="C172:J172" si="72">(C171-B171)/B171</f>
        <v>1.4738255033557046</v>
      </c>
      <c r="D172" s="132">
        <f t="shared" si="72"/>
        <v>-1</v>
      </c>
      <c r="E172" s="40">
        <f>(E171-D171)/1</f>
        <v>4529</v>
      </c>
      <c r="F172" s="424">
        <f t="shared" si="72"/>
        <v>-6.116140428350629E-2</v>
      </c>
      <c r="G172" s="399">
        <f t="shared" si="72"/>
        <v>-0.73988711194731893</v>
      </c>
      <c r="H172" s="40">
        <f t="shared" si="72"/>
        <v>-1</v>
      </c>
      <c r="I172" s="40">
        <f>(I171-H171)/1</f>
        <v>6759</v>
      </c>
      <c r="J172" s="40">
        <f t="shared" si="72"/>
        <v>4.7978990974996298</v>
      </c>
      <c r="K172" s="224">
        <f>(K171-J171)/J171</f>
        <v>-0.83012656935796669</v>
      </c>
      <c r="L172" s="224">
        <f>(L171-K171)/K171</f>
        <v>8.7703169595914083</v>
      </c>
      <c r="M172" s="224">
        <f>(M171-L171)/L171</f>
        <v>-0.25076490213865099</v>
      </c>
      <c r="N172" s="224">
        <f>(N171-M171)/M171</f>
        <v>-0.17721778744536332</v>
      </c>
    </row>
    <row r="173" spans="1:16" x14ac:dyDescent="0.2">
      <c r="A173" s="69" t="s">
        <v>55</v>
      </c>
      <c r="B173" s="32">
        <v>-34522</v>
      </c>
      <c r="C173" s="80">
        <v>-14000</v>
      </c>
      <c r="D173" s="89">
        <v>38856</v>
      </c>
      <c r="E173" s="80">
        <v>4008</v>
      </c>
      <c r="F173" s="408">
        <v>66146</v>
      </c>
      <c r="G173" s="406">
        <v>7223</v>
      </c>
      <c r="H173" s="289">
        <v>-354</v>
      </c>
      <c r="I173" s="80">
        <v>13369</v>
      </c>
      <c r="J173" s="159">
        <v>13301</v>
      </c>
      <c r="K173" s="243">
        <v>-21059</v>
      </c>
      <c r="L173" s="360">
        <v>-16419</v>
      </c>
      <c r="M173" s="243">
        <v>78735</v>
      </c>
      <c r="N173" s="360">
        <v>-57983</v>
      </c>
    </row>
    <row r="174" spans="1:16" x14ac:dyDescent="0.2">
      <c r="A174" s="88" t="s">
        <v>78</v>
      </c>
      <c r="B174" s="41"/>
      <c r="C174" s="78"/>
      <c r="D174" s="88"/>
      <c r="E174" s="78"/>
      <c r="F174" s="409"/>
      <c r="G174" s="417"/>
      <c r="H174" s="447"/>
      <c r="I174" s="78"/>
      <c r="J174" s="27"/>
      <c r="K174" s="244"/>
      <c r="L174" s="352"/>
      <c r="M174" s="244"/>
      <c r="N174" s="352"/>
    </row>
    <row r="175" spans="1:16" x14ac:dyDescent="0.2">
      <c r="A175" s="69" t="s">
        <v>355</v>
      </c>
      <c r="B175" s="32">
        <v>0</v>
      </c>
      <c r="C175" s="80">
        <v>0</v>
      </c>
      <c r="D175" s="89">
        <v>0</v>
      </c>
      <c r="E175" s="80">
        <v>0</v>
      </c>
      <c r="F175" s="408">
        <v>0</v>
      </c>
      <c r="G175" s="406">
        <v>0</v>
      </c>
      <c r="H175" s="448">
        <v>0</v>
      </c>
      <c r="I175" s="80">
        <v>0</v>
      </c>
      <c r="J175" s="44">
        <v>0</v>
      </c>
      <c r="K175" s="242">
        <v>0</v>
      </c>
      <c r="L175" s="322">
        <v>0</v>
      </c>
      <c r="M175" s="242">
        <v>0</v>
      </c>
      <c r="N175" s="322">
        <v>0</v>
      </c>
    </row>
    <row r="176" spans="1:16" x14ac:dyDescent="0.2">
      <c r="A176" s="69" t="s">
        <v>357</v>
      </c>
      <c r="B176" s="32">
        <v>1036193</v>
      </c>
      <c r="C176" s="80">
        <v>1216113</v>
      </c>
      <c r="D176" s="89">
        <v>1036975</v>
      </c>
      <c r="E176" s="80">
        <v>1070992</v>
      </c>
      <c r="F176" s="408">
        <v>1001872</v>
      </c>
      <c r="G176" s="406">
        <v>1018175</v>
      </c>
      <c r="H176" s="34">
        <v>622624</v>
      </c>
      <c r="I176" s="80">
        <v>743856</v>
      </c>
      <c r="J176" s="32">
        <v>734171</v>
      </c>
      <c r="K176" s="240">
        <v>788062</v>
      </c>
      <c r="L176" s="233">
        <v>814562</v>
      </c>
      <c r="M176" s="240">
        <v>1309673</v>
      </c>
      <c r="N176" s="233">
        <v>856109</v>
      </c>
    </row>
    <row r="177" spans="1:16" x14ac:dyDescent="0.2">
      <c r="A177" s="69" t="s">
        <v>358</v>
      </c>
      <c r="B177" s="32">
        <v>136848</v>
      </c>
      <c r="C177" s="80">
        <v>93482</v>
      </c>
      <c r="D177" s="89">
        <v>98102</v>
      </c>
      <c r="E177" s="80">
        <v>147842</v>
      </c>
      <c r="F177" s="408">
        <v>238246</v>
      </c>
      <c r="G177" s="406">
        <v>137177</v>
      </c>
      <c r="H177" s="34">
        <v>90365</v>
      </c>
      <c r="I177" s="80">
        <v>84973</v>
      </c>
      <c r="J177" s="159">
        <v>103014</v>
      </c>
      <c r="K177" s="240">
        <v>124747</v>
      </c>
      <c r="L177" s="233">
        <v>208138</v>
      </c>
      <c r="M177" s="240">
        <v>322050</v>
      </c>
      <c r="N177" s="233">
        <v>197691</v>
      </c>
    </row>
    <row r="178" spans="1:16" x14ac:dyDescent="0.2">
      <c r="A178" s="69" t="s">
        <v>79</v>
      </c>
      <c r="B178" s="32">
        <v>10991</v>
      </c>
      <c r="C178" s="80">
        <v>9608</v>
      </c>
      <c r="D178" s="89">
        <v>9531</v>
      </c>
      <c r="E178" s="80">
        <v>8672</v>
      </c>
      <c r="F178" s="408">
        <v>9804</v>
      </c>
      <c r="G178" s="406">
        <v>9227</v>
      </c>
      <c r="H178" s="34">
        <v>7835</v>
      </c>
      <c r="I178" s="80">
        <v>85857</v>
      </c>
      <c r="J178" s="32">
        <v>93834</v>
      </c>
      <c r="K178" s="240">
        <v>5500</v>
      </c>
      <c r="L178" s="233">
        <v>38256</v>
      </c>
      <c r="M178" s="240">
        <v>4982</v>
      </c>
      <c r="N178" s="233">
        <v>60126</v>
      </c>
    </row>
    <row r="179" spans="1:16" x14ac:dyDescent="0.2">
      <c r="A179" s="68" t="s">
        <v>80</v>
      </c>
      <c r="B179" s="52">
        <f>SUM(B175:B178)</f>
        <v>1184032</v>
      </c>
      <c r="C179" s="82">
        <f t="shared" ref="C179:K179" si="73">SUM(C175:C178)</f>
        <v>1319203</v>
      </c>
      <c r="D179" s="143">
        <f t="shared" si="73"/>
        <v>1144608</v>
      </c>
      <c r="E179" s="82">
        <f t="shared" si="73"/>
        <v>1227506</v>
      </c>
      <c r="F179" s="423">
        <f t="shared" si="73"/>
        <v>1249922</v>
      </c>
      <c r="G179" s="407">
        <f t="shared" si="73"/>
        <v>1164579</v>
      </c>
      <c r="H179" s="39">
        <f t="shared" si="73"/>
        <v>720824</v>
      </c>
      <c r="I179" s="82">
        <f t="shared" si="73"/>
        <v>914686</v>
      </c>
      <c r="J179" s="39">
        <f t="shared" si="73"/>
        <v>931019</v>
      </c>
      <c r="K179" s="241">
        <f t="shared" si="73"/>
        <v>918309</v>
      </c>
      <c r="L179" s="749">
        <f t="shared" ref="L179:N179" si="74">SUM(L175:L178)</f>
        <v>1060956</v>
      </c>
      <c r="M179" s="241">
        <f t="shared" si="74"/>
        <v>1636705</v>
      </c>
      <c r="N179" s="235">
        <f t="shared" si="74"/>
        <v>1113926</v>
      </c>
      <c r="O179" s="294">
        <f>N179-M179</f>
        <v>-522779</v>
      </c>
      <c r="P179" s="294">
        <f>N179-(AVERAGE(J179:L179))</f>
        <v>143831.33333333337</v>
      </c>
    </row>
    <row r="180" spans="1:16" ht="10.9" customHeight="1" x14ac:dyDescent="0.2">
      <c r="A180" s="132" t="s">
        <v>188</v>
      </c>
      <c r="B180" s="40"/>
      <c r="C180" s="40">
        <f t="shared" ref="C180:N180" si="75">(C179-B179)/B179</f>
        <v>0.11416161049701359</v>
      </c>
      <c r="D180" s="132">
        <f t="shared" si="75"/>
        <v>-0.13234885002535621</v>
      </c>
      <c r="E180" s="40">
        <f t="shared" si="75"/>
        <v>7.242479521373256E-2</v>
      </c>
      <c r="F180" s="424">
        <f t="shared" si="75"/>
        <v>1.8261417866796577E-2</v>
      </c>
      <c r="G180" s="399">
        <f t="shared" si="75"/>
        <v>-6.827866058842072E-2</v>
      </c>
      <c r="H180" s="40">
        <f t="shared" si="75"/>
        <v>-0.38104327830057044</v>
      </c>
      <c r="I180" s="40">
        <f t="shared" si="75"/>
        <v>0.2689449851836232</v>
      </c>
      <c r="J180" s="40">
        <f t="shared" si="75"/>
        <v>1.7856400994439622E-2</v>
      </c>
      <c r="K180" s="224">
        <f t="shared" si="75"/>
        <v>-1.3651708504337721E-2</v>
      </c>
      <c r="L180" s="224">
        <f t="shared" si="75"/>
        <v>0.15533660238547156</v>
      </c>
      <c r="M180" s="224">
        <f t="shared" si="75"/>
        <v>0.54267000705024526</v>
      </c>
      <c r="N180" s="224">
        <f t="shared" si="75"/>
        <v>-0.31940942320088228</v>
      </c>
    </row>
    <row r="181" spans="1:16" x14ac:dyDescent="0.2">
      <c r="A181" s="69" t="s">
        <v>81</v>
      </c>
      <c r="B181" s="32">
        <v>0</v>
      </c>
      <c r="C181" s="80">
        <v>0</v>
      </c>
      <c r="D181" s="89">
        <v>0</v>
      </c>
      <c r="E181" s="80">
        <v>0</v>
      </c>
      <c r="F181" s="408">
        <v>0</v>
      </c>
      <c r="G181" s="406">
        <v>0</v>
      </c>
      <c r="H181" s="34">
        <v>0</v>
      </c>
      <c r="I181" s="80">
        <v>0</v>
      </c>
      <c r="J181" s="44">
        <v>0</v>
      </c>
      <c r="K181" s="239">
        <v>0</v>
      </c>
      <c r="L181" s="322">
        <v>0</v>
      </c>
      <c r="M181" s="242">
        <v>0</v>
      </c>
      <c r="N181" s="322">
        <v>0</v>
      </c>
    </row>
    <row r="182" spans="1:16" x14ac:dyDescent="0.2">
      <c r="A182" s="69" t="s">
        <v>82</v>
      </c>
      <c r="B182" s="32">
        <v>318075</v>
      </c>
      <c r="C182" s="80">
        <v>402750</v>
      </c>
      <c r="D182" s="89">
        <v>453995</v>
      </c>
      <c r="E182" s="80">
        <v>472528</v>
      </c>
      <c r="F182" s="408">
        <v>400346</v>
      </c>
      <c r="G182" s="406">
        <v>372836</v>
      </c>
      <c r="H182" s="34">
        <v>157310</v>
      </c>
      <c r="I182" s="80">
        <v>333784</v>
      </c>
      <c r="J182" s="159">
        <v>351884</v>
      </c>
      <c r="K182" s="240">
        <v>405902</v>
      </c>
      <c r="L182" s="233">
        <v>382684</v>
      </c>
      <c r="M182" s="240">
        <v>438755</v>
      </c>
      <c r="N182" s="233">
        <v>435038</v>
      </c>
    </row>
    <row r="183" spans="1:16" x14ac:dyDescent="0.2">
      <c r="A183" s="69" t="s">
        <v>367</v>
      </c>
      <c r="B183" s="32"/>
      <c r="C183" s="80"/>
      <c r="D183" s="89"/>
      <c r="E183" s="80">
        <v>18762</v>
      </c>
      <c r="F183" s="408">
        <v>132949</v>
      </c>
      <c r="G183" s="406">
        <v>167147</v>
      </c>
      <c r="H183" s="34">
        <v>216899</v>
      </c>
      <c r="I183" s="80">
        <v>117473</v>
      </c>
      <c r="J183" s="159">
        <v>115185</v>
      </c>
      <c r="K183" s="240">
        <v>131622</v>
      </c>
      <c r="L183" s="233">
        <v>180872</v>
      </c>
      <c r="M183" s="240">
        <v>250247</v>
      </c>
      <c r="N183" s="233">
        <v>120236</v>
      </c>
    </row>
    <row r="184" spans="1:16" x14ac:dyDescent="0.2">
      <c r="A184" s="68" t="s">
        <v>83</v>
      </c>
      <c r="B184" s="52">
        <f t="shared" ref="B184:D184" si="76">SUM(B181:B182)</f>
        <v>318075</v>
      </c>
      <c r="C184" s="82">
        <f t="shared" si="76"/>
        <v>402750</v>
      </c>
      <c r="D184" s="143">
        <f t="shared" si="76"/>
        <v>453995</v>
      </c>
      <c r="E184" s="82">
        <f t="shared" ref="E184:N184" si="77">SUM(E181:E183)</f>
        <v>491290</v>
      </c>
      <c r="F184" s="423">
        <f t="shared" si="77"/>
        <v>533295</v>
      </c>
      <c r="G184" s="407">
        <f t="shared" si="77"/>
        <v>539983</v>
      </c>
      <c r="H184" s="39">
        <f t="shared" si="77"/>
        <v>374209</v>
      </c>
      <c r="I184" s="82">
        <f t="shared" si="77"/>
        <v>451257</v>
      </c>
      <c r="J184" s="36">
        <f t="shared" si="77"/>
        <v>467069</v>
      </c>
      <c r="K184" s="241">
        <f t="shared" si="77"/>
        <v>537524</v>
      </c>
      <c r="L184" s="235">
        <f t="shared" si="77"/>
        <v>563556</v>
      </c>
      <c r="M184" s="241">
        <f t="shared" si="77"/>
        <v>689002</v>
      </c>
      <c r="N184" s="235">
        <f t="shared" si="77"/>
        <v>555274</v>
      </c>
      <c r="O184" s="294">
        <f>N184-M184</f>
        <v>-133728</v>
      </c>
      <c r="P184" s="294">
        <f>N184-(AVERAGE(J184:L184))</f>
        <v>32557.666666666686</v>
      </c>
    </row>
    <row r="185" spans="1:16" ht="10.9" customHeight="1" x14ac:dyDescent="0.2">
      <c r="A185" s="132" t="s">
        <v>188</v>
      </c>
      <c r="B185" s="40"/>
      <c r="C185" s="40">
        <f t="shared" ref="C185:N185" si="78">(C184-B184)/B184</f>
        <v>0.26621079933977837</v>
      </c>
      <c r="D185" s="132">
        <f t="shared" si="78"/>
        <v>0.12723774053382991</v>
      </c>
      <c r="E185" s="40">
        <f t="shared" si="78"/>
        <v>8.2148481811473689E-2</v>
      </c>
      <c r="F185" s="424">
        <f t="shared" si="78"/>
        <v>8.5499399539986559E-2</v>
      </c>
      <c r="G185" s="399">
        <f t="shared" si="78"/>
        <v>1.2540901377286492E-2</v>
      </c>
      <c r="H185" s="40">
        <f t="shared" si="78"/>
        <v>-0.30699855365817075</v>
      </c>
      <c r="I185" s="40">
        <f t="shared" si="78"/>
        <v>0.20589563586124332</v>
      </c>
      <c r="J185" s="40">
        <f t="shared" si="78"/>
        <v>3.5039899658066247E-2</v>
      </c>
      <c r="K185" s="224">
        <f t="shared" si="78"/>
        <v>0.150844950103732</v>
      </c>
      <c r="L185" s="224">
        <f t="shared" si="78"/>
        <v>4.8429465475029951E-2</v>
      </c>
      <c r="M185" s="224">
        <f t="shared" si="78"/>
        <v>0.22259722192648113</v>
      </c>
      <c r="N185" s="224">
        <f t="shared" si="78"/>
        <v>-0.19408942209166302</v>
      </c>
    </row>
    <row r="186" spans="1:16" x14ac:dyDescent="0.2">
      <c r="A186" s="68" t="s">
        <v>26</v>
      </c>
      <c r="B186" s="52">
        <f>SUM(B184,B179)</f>
        <v>1502107</v>
      </c>
      <c r="C186" s="82">
        <f t="shared" ref="C186:I186" si="79">SUM(C184,C179)</f>
        <v>1721953</v>
      </c>
      <c r="D186" s="143">
        <f t="shared" si="79"/>
        <v>1598603</v>
      </c>
      <c r="E186" s="82">
        <f t="shared" si="79"/>
        <v>1718796</v>
      </c>
      <c r="F186" s="423">
        <f t="shared" si="79"/>
        <v>1783217</v>
      </c>
      <c r="G186" s="407">
        <f t="shared" si="79"/>
        <v>1704562</v>
      </c>
      <c r="H186" s="39">
        <f t="shared" si="79"/>
        <v>1095033</v>
      </c>
      <c r="I186" s="82">
        <f t="shared" si="79"/>
        <v>1365943</v>
      </c>
      <c r="J186" s="276">
        <f>J184+J179</f>
        <v>1398088</v>
      </c>
      <c r="K186" s="241">
        <f t="shared" ref="K186:N186" si="80">SUM(K184,K179)</f>
        <v>1455833</v>
      </c>
      <c r="L186" s="235">
        <f t="shared" si="80"/>
        <v>1624512</v>
      </c>
      <c r="M186" s="241">
        <f t="shared" si="80"/>
        <v>2325707</v>
      </c>
      <c r="N186" s="235">
        <f t="shared" si="80"/>
        <v>1669200</v>
      </c>
      <c r="O186" s="294">
        <f>N186-M186</f>
        <v>-656507</v>
      </c>
      <c r="P186" s="294">
        <f>N186-(AVERAGE(J186:L186))</f>
        <v>176389</v>
      </c>
    </row>
    <row r="187" spans="1:16" x14ac:dyDescent="0.2">
      <c r="A187" s="69" t="s">
        <v>57</v>
      </c>
      <c r="B187" s="32">
        <v>22290</v>
      </c>
      <c r="C187" s="80">
        <v>-52317</v>
      </c>
      <c r="D187" s="89">
        <v>26210</v>
      </c>
      <c r="E187" s="80">
        <v>10115</v>
      </c>
      <c r="F187" s="421">
        <v>82888</v>
      </c>
      <c r="G187" s="406">
        <v>115614</v>
      </c>
      <c r="H187" s="34">
        <v>52821</v>
      </c>
      <c r="I187" s="288">
        <v>-135713</v>
      </c>
      <c r="J187" s="419">
        <v>67702</v>
      </c>
      <c r="K187" s="240">
        <f>-59041</f>
        <v>-59041</v>
      </c>
      <c r="L187" s="233">
        <v>73426</v>
      </c>
      <c r="M187" s="240">
        <v>713987</v>
      </c>
      <c r="N187" s="233">
        <v>92172</v>
      </c>
    </row>
    <row r="188" spans="1:16" x14ac:dyDescent="0.2">
      <c r="A188" s="68" t="s">
        <v>84</v>
      </c>
      <c r="B188" s="52">
        <f>SUM(B186:B187)</f>
        <v>1524397</v>
      </c>
      <c r="C188" s="82">
        <f t="shared" ref="C188:I188" si="81">SUM(C186:C187)</f>
        <v>1669636</v>
      </c>
      <c r="D188" s="307">
        <f t="shared" si="81"/>
        <v>1624813</v>
      </c>
      <c r="E188" s="82">
        <f t="shared" si="81"/>
        <v>1728911</v>
      </c>
      <c r="F188" s="423">
        <f t="shared" si="81"/>
        <v>1866105</v>
      </c>
      <c r="G188" s="407">
        <f t="shared" si="81"/>
        <v>1820176</v>
      </c>
      <c r="H188" s="39">
        <f t="shared" si="81"/>
        <v>1147854</v>
      </c>
      <c r="I188" s="82">
        <f t="shared" si="81"/>
        <v>1230230</v>
      </c>
      <c r="J188" s="36">
        <f>SUM(J186:J187)</f>
        <v>1465790</v>
      </c>
      <c r="K188" s="241">
        <f>SUM(K186:K187)</f>
        <v>1396792</v>
      </c>
      <c r="L188" s="235">
        <f>SUM(L186:L187)</f>
        <v>1697938</v>
      </c>
      <c r="M188" s="241">
        <f>SUM(M186:M187)</f>
        <v>3039694</v>
      </c>
      <c r="N188" s="235">
        <f>SUM(N186:N187)</f>
        <v>1761372</v>
      </c>
      <c r="O188" s="294">
        <f>N188-M188</f>
        <v>-1278322</v>
      </c>
      <c r="P188" s="294">
        <f>N188-(AVERAGE(J188:L188))</f>
        <v>241198.66666666674</v>
      </c>
    </row>
    <row r="189" spans="1:16" ht="10.9" customHeight="1" x14ac:dyDescent="0.2">
      <c r="A189" s="132" t="s">
        <v>188</v>
      </c>
      <c r="B189" s="40"/>
      <c r="C189" s="40">
        <f t="shared" ref="C189:N189" si="82">(C188-B188)/B188</f>
        <v>9.5276361735164794E-2</v>
      </c>
      <c r="D189" s="132">
        <f t="shared" si="82"/>
        <v>-2.6845971217678583E-2</v>
      </c>
      <c r="E189" s="40">
        <f t="shared" si="82"/>
        <v>6.4067680403837243E-2</v>
      </c>
      <c r="F189" s="424">
        <f t="shared" si="82"/>
        <v>7.9352841181529882E-2</v>
      </c>
      <c r="G189" s="399">
        <f t="shared" si="82"/>
        <v>-2.461222707189574E-2</v>
      </c>
      <c r="H189" s="40">
        <f t="shared" si="82"/>
        <v>-0.36937197282021078</v>
      </c>
      <c r="I189" s="40">
        <f t="shared" si="82"/>
        <v>7.1765224497192151E-2</v>
      </c>
      <c r="J189" s="40">
        <f t="shared" si="82"/>
        <v>0.19147639059362884</v>
      </c>
      <c r="K189" s="224">
        <f t="shared" si="82"/>
        <v>-4.7072227263114087E-2</v>
      </c>
      <c r="L189" s="224">
        <f t="shared" si="82"/>
        <v>0.2155983138505948</v>
      </c>
      <c r="M189" s="224">
        <f t="shared" si="82"/>
        <v>0.79022673383833808</v>
      </c>
      <c r="N189" s="224">
        <f t="shared" si="82"/>
        <v>-0.42054298886664249</v>
      </c>
    </row>
    <row r="190" spans="1:16" x14ac:dyDescent="0.2">
      <c r="A190" s="88" t="s">
        <v>85</v>
      </c>
      <c r="B190" s="41"/>
      <c r="C190" s="78"/>
      <c r="D190" s="91"/>
      <c r="E190" s="78"/>
      <c r="F190" s="409"/>
      <c r="G190" s="417"/>
      <c r="H190" s="30"/>
      <c r="I190" s="78"/>
      <c r="J190" s="27"/>
      <c r="K190" s="244"/>
      <c r="L190" s="352"/>
      <c r="M190" s="244"/>
      <c r="N190" s="352"/>
    </row>
    <row r="191" spans="1:16" x14ac:dyDescent="0.2">
      <c r="A191" s="69" t="s">
        <v>264</v>
      </c>
      <c r="B191" s="41"/>
      <c r="C191" s="78"/>
      <c r="D191" s="91"/>
      <c r="E191" s="78"/>
      <c r="F191" s="409"/>
      <c r="G191" s="417"/>
      <c r="H191" s="30"/>
      <c r="I191" s="78"/>
      <c r="J191" s="27"/>
      <c r="K191" s="244"/>
      <c r="L191" s="322">
        <v>0</v>
      </c>
      <c r="M191" s="242">
        <v>0</v>
      </c>
      <c r="N191" s="322">
        <v>0</v>
      </c>
    </row>
    <row r="192" spans="1:16" x14ac:dyDescent="0.2">
      <c r="A192" s="69" t="s">
        <v>62</v>
      </c>
      <c r="B192" s="32">
        <v>1794310</v>
      </c>
      <c r="C192" s="80">
        <v>2024372</v>
      </c>
      <c r="D192" s="89">
        <v>2486055</v>
      </c>
      <c r="E192" s="80">
        <v>2411197</v>
      </c>
      <c r="F192" s="408">
        <v>2157207</v>
      </c>
      <c r="G192" s="406">
        <v>2270925</v>
      </c>
      <c r="H192" s="34">
        <v>3686434</v>
      </c>
      <c r="I192" s="80">
        <v>3704068</v>
      </c>
      <c r="J192" s="32">
        <v>3907986</v>
      </c>
      <c r="K192" s="240">
        <v>3892491</v>
      </c>
      <c r="L192" s="233">
        <v>5594101</v>
      </c>
      <c r="M192" s="240">
        <v>3705889</v>
      </c>
      <c r="N192" s="233">
        <v>3978331</v>
      </c>
    </row>
    <row r="193" spans="1:16" x14ac:dyDescent="0.2">
      <c r="A193" s="69" t="s">
        <v>63</v>
      </c>
      <c r="B193" s="32">
        <v>1900029</v>
      </c>
      <c r="C193" s="80">
        <v>1582876</v>
      </c>
      <c r="D193" s="89">
        <v>2409843</v>
      </c>
      <c r="E193" s="80">
        <v>1156958</v>
      </c>
      <c r="F193" s="408">
        <v>1044446</v>
      </c>
      <c r="G193" s="406">
        <v>1213323</v>
      </c>
      <c r="H193" s="34">
        <v>1524262</v>
      </c>
      <c r="I193" s="80">
        <v>2234232</v>
      </c>
      <c r="J193" s="32">
        <v>1893371</v>
      </c>
      <c r="K193" s="240">
        <v>1693208</v>
      </c>
      <c r="L193" s="233">
        <v>1624685</v>
      </c>
      <c r="M193" s="240">
        <v>2014947</v>
      </c>
      <c r="N193" s="233">
        <v>1766570</v>
      </c>
    </row>
    <row r="194" spans="1:16" x14ac:dyDescent="0.2">
      <c r="A194" s="69" t="s">
        <v>64</v>
      </c>
      <c r="B194" s="32">
        <v>0</v>
      </c>
      <c r="C194" s="80">
        <v>0</v>
      </c>
      <c r="D194" s="89">
        <v>0</v>
      </c>
      <c r="E194" s="80">
        <v>1622237</v>
      </c>
      <c r="F194" s="408">
        <v>1554110</v>
      </c>
      <c r="G194" s="406">
        <v>1733185</v>
      </c>
      <c r="H194" s="34">
        <v>1789387</v>
      </c>
      <c r="I194" s="80">
        <v>2880415</v>
      </c>
      <c r="J194" s="32">
        <v>3319301</v>
      </c>
      <c r="K194" s="240">
        <v>3714872</v>
      </c>
      <c r="L194" s="233">
        <v>3809743</v>
      </c>
      <c r="M194" s="240">
        <v>3046053</v>
      </c>
      <c r="N194" s="233">
        <v>2022216</v>
      </c>
    </row>
    <row r="195" spans="1:16" x14ac:dyDescent="0.2">
      <c r="A195" s="68" t="s">
        <v>86</v>
      </c>
      <c r="B195" s="36">
        <f>SUM(B192:B194)</f>
        <v>3694339</v>
      </c>
      <c r="C195" s="82">
        <f t="shared" ref="C195:K195" si="83">SUM(C192:C194)</f>
        <v>3607248</v>
      </c>
      <c r="D195" s="307">
        <f t="shared" si="83"/>
        <v>4895898</v>
      </c>
      <c r="E195" s="82">
        <f t="shared" si="83"/>
        <v>5190392</v>
      </c>
      <c r="F195" s="423">
        <f t="shared" si="83"/>
        <v>4755763</v>
      </c>
      <c r="G195" s="407">
        <f t="shared" si="83"/>
        <v>5217433</v>
      </c>
      <c r="H195" s="39">
        <f t="shared" si="83"/>
        <v>7000083</v>
      </c>
      <c r="I195" s="82">
        <f t="shared" si="83"/>
        <v>8818715</v>
      </c>
      <c r="J195" s="36">
        <f t="shared" si="83"/>
        <v>9120658</v>
      </c>
      <c r="K195" s="241">
        <f t="shared" si="83"/>
        <v>9300571</v>
      </c>
      <c r="L195" s="235">
        <f t="shared" ref="L195:N195" si="84">SUM(L192:L194)</f>
        <v>11028529</v>
      </c>
      <c r="M195" s="241">
        <f>SUM(M192:M194)</f>
        <v>8766889</v>
      </c>
      <c r="N195" s="235">
        <f t="shared" si="84"/>
        <v>7767117</v>
      </c>
      <c r="O195" s="294">
        <f>N195-M195</f>
        <v>-999772</v>
      </c>
      <c r="P195" s="294">
        <f>N195-(AVERAGE(J195:L195))</f>
        <v>-2049469</v>
      </c>
    </row>
    <row r="196" spans="1:16" ht="10.9" customHeight="1" x14ac:dyDescent="0.2">
      <c r="A196" s="132" t="s">
        <v>188</v>
      </c>
      <c r="B196" s="40"/>
      <c r="C196" s="40">
        <f t="shared" ref="C196:N196" si="85">(C195-B195)/B195</f>
        <v>-2.3574176598303513E-2</v>
      </c>
      <c r="D196" s="132">
        <f t="shared" si="85"/>
        <v>0.35723909196151749</v>
      </c>
      <c r="E196" s="40">
        <f t="shared" si="85"/>
        <v>6.0151171450058806E-2</v>
      </c>
      <c r="F196" s="424">
        <f t="shared" si="85"/>
        <v>-8.3737220618404162E-2</v>
      </c>
      <c r="G196" s="399">
        <f t="shared" si="85"/>
        <v>9.7075905590753783E-2</v>
      </c>
      <c r="H196" s="40">
        <f t="shared" si="85"/>
        <v>0.34167185280577633</v>
      </c>
      <c r="I196" s="40">
        <f t="shared" si="85"/>
        <v>0.25980149092517901</v>
      </c>
      <c r="J196" s="40">
        <f t="shared" si="85"/>
        <v>3.4238888545553403E-2</v>
      </c>
      <c r="K196" s="224">
        <f t="shared" si="85"/>
        <v>1.9725879426681716E-2</v>
      </c>
      <c r="L196" s="224">
        <f t="shared" si="85"/>
        <v>0.18579052834498011</v>
      </c>
      <c r="M196" s="224">
        <f t="shared" si="85"/>
        <v>-0.20507177339788471</v>
      </c>
      <c r="N196" s="224">
        <f t="shared" si="85"/>
        <v>-0.11403954127855388</v>
      </c>
    </row>
    <row r="197" spans="1:16" x14ac:dyDescent="0.2">
      <c r="A197" s="146" t="s">
        <v>87</v>
      </c>
      <c r="B197" s="142">
        <f t="shared" ref="B197:J197" si="86">SUM(B159+B171+B173-B188)</f>
        <v>3694339</v>
      </c>
      <c r="C197" s="142">
        <f t="shared" si="86"/>
        <v>3607248</v>
      </c>
      <c r="D197" s="384">
        <f t="shared" si="86"/>
        <v>4895898</v>
      </c>
      <c r="E197" s="142">
        <f t="shared" si="86"/>
        <v>5190392</v>
      </c>
      <c r="F197" s="451">
        <f t="shared" si="86"/>
        <v>4755763</v>
      </c>
      <c r="G197" s="400">
        <f t="shared" si="86"/>
        <v>5217433</v>
      </c>
      <c r="H197" s="142">
        <f t="shared" si="86"/>
        <v>7000083</v>
      </c>
      <c r="I197" s="142">
        <f t="shared" si="86"/>
        <v>8818715</v>
      </c>
      <c r="J197" s="142">
        <f t="shared" si="86"/>
        <v>9120658</v>
      </c>
      <c r="K197" s="230">
        <f t="shared" ref="K197:L197" si="87">SUM(K159+K171+K173-K188)</f>
        <v>9300571</v>
      </c>
      <c r="L197" s="230">
        <f t="shared" si="87"/>
        <v>11028529</v>
      </c>
      <c r="M197" s="230">
        <f t="shared" ref="M197:N197" si="88">SUM(M159+M171+M173-M188)</f>
        <v>8766889</v>
      </c>
      <c r="N197" s="230">
        <f t="shared" si="88"/>
        <v>7767117</v>
      </c>
    </row>
    <row r="198" spans="1:16" s="433" customFormat="1" ht="6" customHeight="1" x14ac:dyDescent="0.2">
      <c r="A198" s="427"/>
      <c r="B198" s="450"/>
      <c r="C198" s="450"/>
      <c r="D198" s="450"/>
      <c r="E198" s="443"/>
      <c r="F198" s="444"/>
      <c r="G198" s="428"/>
      <c r="H198" s="428"/>
      <c r="I198" s="428"/>
      <c r="J198" s="428"/>
      <c r="K198" s="245"/>
      <c r="L198" s="245"/>
      <c r="M198" s="245"/>
      <c r="N198" s="245"/>
    </row>
    <row r="199" spans="1:16" ht="11.45" customHeight="1" x14ac:dyDescent="0.2">
      <c r="A199" s="139" t="s">
        <v>93</v>
      </c>
      <c r="B199" s="62" t="s">
        <v>116</v>
      </c>
      <c r="C199" s="62" t="s">
        <v>115</v>
      </c>
      <c r="D199" s="84" t="s">
        <v>127</v>
      </c>
      <c r="E199" s="83" t="s">
        <v>113</v>
      </c>
      <c r="F199" s="63" t="s">
        <v>137</v>
      </c>
      <c r="G199" s="83" t="s">
        <v>125</v>
      </c>
      <c r="H199" s="83" t="s">
        <v>124</v>
      </c>
      <c r="I199" s="83" t="s">
        <v>194</v>
      </c>
      <c r="J199" s="83" t="s">
        <v>193</v>
      </c>
      <c r="K199" s="246" t="s">
        <v>249</v>
      </c>
      <c r="L199" s="324" t="str">
        <f>L2</f>
        <v>CY'2016</v>
      </c>
      <c r="M199" s="324" t="str">
        <f>M2</f>
        <v>CY'2017</v>
      </c>
      <c r="N199" s="324" t="str">
        <f>N2</f>
        <v>CY'2018</v>
      </c>
    </row>
    <row r="200" spans="1:16" ht="10.15" customHeight="1" x14ac:dyDescent="0.2">
      <c r="A200" s="111"/>
      <c r="B200" s="64" t="s">
        <v>158</v>
      </c>
      <c r="C200" s="64" t="s">
        <v>157</v>
      </c>
      <c r="D200" s="304" t="s">
        <v>156</v>
      </c>
      <c r="E200" s="64" t="s">
        <v>155</v>
      </c>
      <c r="F200" s="64" t="s">
        <v>154</v>
      </c>
      <c r="G200" s="64" t="s">
        <v>153</v>
      </c>
      <c r="H200" s="64" t="s">
        <v>152</v>
      </c>
      <c r="I200" s="64" t="s">
        <v>202</v>
      </c>
      <c r="J200" s="64" t="s">
        <v>201</v>
      </c>
      <c r="K200" s="247" t="s">
        <v>253</v>
      </c>
      <c r="L200" s="247" t="s">
        <v>261</v>
      </c>
      <c r="M200" s="247" t="s">
        <v>284</v>
      </c>
      <c r="N200" s="247" t="s">
        <v>332</v>
      </c>
    </row>
    <row r="201" spans="1:16" ht="12" customHeight="1" x14ac:dyDescent="0.2">
      <c r="A201" s="88" t="s">
        <v>61</v>
      </c>
      <c r="B201" s="86"/>
      <c r="C201" s="87"/>
      <c r="D201" s="389"/>
      <c r="E201" s="87"/>
      <c r="F201" s="87"/>
      <c r="G201" s="27"/>
      <c r="H201" s="27"/>
      <c r="I201" s="27"/>
      <c r="J201" s="27"/>
      <c r="K201" s="248"/>
      <c r="L201" s="248"/>
      <c r="M201" s="248"/>
      <c r="N201" s="248"/>
    </row>
    <row r="202" spans="1:16" ht="12" customHeight="1" x14ac:dyDescent="0.2">
      <c r="A202" s="69" t="s">
        <v>264</v>
      </c>
      <c r="B202" s="86"/>
      <c r="C202" s="87"/>
      <c r="D202" s="389"/>
      <c r="E202" s="87"/>
      <c r="F202" s="87"/>
      <c r="G202" s="27"/>
      <c r="H202" s="27"/>
      <c r="I202" s="27"/>
      <c r="J202" s="27"/>
      <c r="K202" s="248"/>
      <c r="L202" s="325">
        <v>0</v>
      </c>
      <c r="M202" s="325">
        <v>0</v>
      </c>
      <c r="N202" s="325">
        <v>0</v>
      </c>
    </row>
    <row r="203" spans="1:16" x14ac:dyDescent="0.2">
      <c r="A203" s="69" t="s">
        <v>62</v>
      </c>
      <c r="B203" s="35">
        <v>1375747</v>
      </c>
      <c r="C203" s="32">
        <v>1292950</v>
      </c>
      <c r="D203" s="89">
        <v>1425766</v>
      </c>
      <c r="E203" s="32">
        <v>1897270</v>
      </c>
      <c r="F203" s="32">
        <v>1897212</v>
      </c>
      <c r="G203" s="35">
        <v>1497412</v>
      </c>
      <c r="H203" s="32">
        <v>1724262</v>
      </c>
      <c r="I203" s="32">
        <v>2365693</v>
      </c>
      <c r="J203" s="32">
        <v>2564083</v>
      </c>
      <c r="K203" s="234">
        <v>2654030</v>
      </c>
      <c r="L203" s="234">
        <v>2773027</v>
      </c>
      <c r="M203" s="234">
        <v>4175273</v>
      </c>
      <c r="N203" s="234">
        <v>2281453</v>
      </c>
    </row>
    <row r="204" spans="1:16" x14ac:dyDescent="0.2">
      <c r="A204" s="69" t="s">
        <v>63</v>
      </c>
      <c r="B204" s="35">
        <v>1614077</v>
      </c>
      <c r="C204" s="32">
        <v>1687510</v>
      </c>
      <c r="D204" s="89">
        <v>1529801</v>
      </c>
      <c r="E204" s="32">
        <v>2447058</v>
      </c>
      <c r="F204" s="32">
        <v>1123944</v>
      </c>
      <c r="G204" s="35">
        <v>1000914</v>
      </c>
      <c r="H204" s="32">
        <v>1683773</v>
      </c>
      <c r="I204" s="32">
        <v>1632929</v>
      </c>
      <c r="J204" s="32">
        <v>1903560</v>
      </c>
      <c r="K204" s="234">
        <v>1834928</v>
      </c>
      <c r="L204" s="234">
        <v>2024414</v>
      </c>
      <c r="M204" s="234">
        <v>1842736</v>
      </c>
      <c r="N204" s="234">
        <v>2016816</v>
      </c>
    </row>
    <row r="205" spans="1:16" x14ac:dyDescent="0.2">
      <c r="A205" s="69" t="s">
        <v>64</v>
      </c>
      <c r="B205" s="32">
        <v>0</v>
      </c>
      <c r="C205" s="32">
        <v>0</v>
      </c>
      <c r="D205" s="89">
        <v>0</v>
      </c>
      <c r="E205" s="32">
        <v>0</v>
      </c>
      <c r="F205" s="32">
        <v>1590050</v>
      </c>
      <c r="G205" s="35">
        <v>1584245</v>
      </c>
      <c r="H205" s="32">
        <v>1159770</v>
      </c>
      <c r="I205" s="32">
        <v>1795073</v>
      </c>
      <c r="J205" s="32">
        <v>3041141</v>
      </c>
      <c r="K205" s="234">
        <v>3182138</v>
      </c>
      <c r="L205" s="234">
        <v>3508002</v>
      </c>
      <c r="M205" s="234">
        <v>3727372</v>
      </c>
      <c r="N205" s="234">
        <v>2586624</v>
      </c>
    </row>
    <row r="206" spans="1:16" x14ac:dyDescent="0.2">
      <c r="A206" s="69" t="s">
        <v>65</v>
      </c>
      <c r="B206" s="36">
        <f>SUM(B203:B205)</f>
        <v>2989824</v>
      </c>
      <c r="C206" s="36">
        <f t="shared" ref="C206:K206" si="89">SUM(C203:C205)</f>
        <v>2980460</v>
      </c>
      <c r="D206" s="307">
        <f t="shared" si="89"/>
        <v>2955567</v>
      </c>
      <c r="E206" s="36">
        <f t="shared" si="89"/>
        <v>4344328</v>
      </c>
      <c r="F206" s="36">
        <f t="shared" si="89"/>
        <v>4611206</v>
      </c>
      <c r="G206" s="35">
        <f t="shared" si="89"/>
        <v>4082571</v>
      </c>
      <c r="H206" s="35">
        <f t="shared" si="89"/>
        <v>4567805</v>
      </c>
      <c r="I206" s="35">
        <f t="shared" si="89"/>
        <v>5793695</v>
      </c>
      <c r="J206" s="36">
        <f t="shared" si="89"/>
        <v>7508784</v>
      </c>
      <c r="K206" s="235">
        <f t="shared" si="89"/>
        <v>7671096</v>
      </c>
      <c r="L206" s="235">
        <f>SUM(L202:L205)</f>
        <v>8305443</v>
      </c>
      <c r="M206" s="235">
        <f>SUM(M202:M205)</f>
        <v>9745381</v>
      </c>
      <c r="N206" s="235">
        <f>SUM(N202:N205)</f>
        <v>6884893</v>
      </c>
    </row>
    <row r="207" spans="1:16" x14ac:dyDescent="0.2">
      <c r="A207" s="69" t="s">
        <v>66</v>
      </c>
      <c r="B207" s="35">
        <v>46737</v>
      </c>
      <c r="C207" s="32">
        <v>193129</v>
      </c>
      <c r="D207" s="89">
        <v>63972</v>
      </c>
      <c r="E207" s="32">
        <v>112416</v>
      </c>
      <c r="F207" s="32">
        <v>45433</v>
      </c>
      <c r="G207" s="32">
        <v>17970</v>
      </c>
      <c r="H207" s="32">
        <v>43038</v>
      </c>
      <c r="I207" s="32">
        <v>47145</v>
      </c>
      <c r="J207" s="159">
        <v>-10786</v>
      </c>
      <c r="K207" s="234">
        <v>45440</v>
      </c>
      <c r="L207" s="234">
        <v>-2664</v>
      </c>
      <c r="M207" s="234">
        <v>-118244</v>
      </c>
      <c r="N207" s="234">
        <v>-267</v>
      </c>
    </row>
    <row r="208" spans="1:16" x14ac:dyDescent="0.2">
      <c r="A208" s="68" t="s">
        <v>67</v>
      </c>
      <c r="B208" s="36">
        <f>SUM(B206:B207)</f>
        <v>3036561</v>
      </c>
      <c r="C208" s="36">
        <f t="shared" ref="C208:K208" si="90">SUM(C206:C207)</f>
        <v>3173589</v>
      </c>
      <c r="D208" s="307">
        <f t="shared" si="90"/>
        <v>3019539</v>
      </c>
      <c r="E208" s="36">
        <f t="shared" si="90"/>
        <v>4456744</v>
      </c>
      <c r="F208" s="36">
        <f t="shared" si="90"/>
        <v>4656639</v>
      </c>
      <c r="G208" s="36">
        <f t="shared" si="90"/>
        <v>4100541</v>
      </c>
      <c r="H208" s="36">
        <f t="shared" si="90"/>
        <v>4610843</v>
      </c>
      <c r="I208" s="36">
        <f t="shared" si="90"/>
        <v>5840840</v>
      </c>
      <c r="J208" s="36">
        <f t="shared" si="90"/>
        <v>7497998</v>
      </c>
      <c r="K208" s="235">
        <f t="shared" si="90"/>
        <v>7716536</v>
      </c>
      <c r="L208" s="235">
        <f t="shared" ref="L208:N208" si="91">SUM(L206:L207)</f>
        <v>8302779</v>
      </c>
      <c r="M208" s="235">
        <f t="shared" si="91"/>
        <v>9627137</v>
      </c>
      <c r="N208" s="235">
        <f t="shared" si="91"/>
        <v>6884626</v>
      </c>
      <c r="O208" s="294">
        <f>N208-M208</f>
        <v>-2742511</v>
      </c>
      <c r="P208" s="294">
        <f>N208-(AVERAGE(J208:L208))</f>
        <v>-954478.33333333302</v>
      </c>
    </row>
    <row r="209" spans="1:16" ht="10.9" customHeight="1" x14ac:dyDescent="0.2">
      <c r="A209" s="132" t="s">
        <v>188</v>
      </c>
      <c r="B209" s="40"/>
      <c r="C209" s="40">
        <f t="shared" ref="C209:J209" si="92">(C208-B208)/B208</f>
        <v>4.5126048842753362E-2</v>
      </c>
      <c r="D209" s="132">
        <f t="shared" si="92"/>
        <v>-4.8541257232741858E-2</v>
      </c>
      <c r="E209" s="40">
        <f t="shared" si="92"/>
        <v>0.47596835146027255</v>
      </c>
      <c r="F209" s="40">
        <f t="shared" si="92"/>
        <v>4.4852250880912166E-2</v>
      </c>
      <c r="G209" s="40">
        <f t="shared" si="92"/>
        <v>-0.11942046613448025</v>
      </c>
      <c r="H209" s="40">
        <f t="shared" si="92"/>
        <v>0.12444748144208288</v>
      </c>
      <c r="I209" s="40">
        <f t="shared" si="92"/>
        <v>0.26676184810456571</v>
      </c>
      <c r="J209" s="40">
        <f t="shared" si="92"/>
        <v>0.28371912259195597</v>
      </c>
      <c r="K209" s="224">
        <f>(K208-J208)/J208</f>
        <v>2.9146180087004557E-2</v>
      </c>
      <c r="L209" s="224">
        <f>(L208-K208)/K208</f>
        <v>7.5972301561218661E-2</v>
      </c>
      <c r="M209" s="224">
        <f>(M208-L208)/L208</f>
        <v>0.15950779853347896</v>
      </c>
      <c r="N209" s="224">
        <f>(N208-M208)/M208</f>
        <v>-0.28487295859610184</v>
      </c>
    </row>
    <row r="210" spans="1:16" x14ac:dyDescent="0.2">
      <c r="A210" s="88" t="s">
        <v>68</v>
      </c>
      <c r="B210" s="85"/>
      <c r="C210" s="90"/>
      <c r="D210" s="389"/>
      <c r="E210" s="87"/>
      <c r="F210" s="87"/>
      <c r="G210" s="27"/>
      <c r="H210" s="27"/>
      <c r="I210" s="41"/>
      <c r="J210" s="27"/>
      <c r="K210" s="248"/>
      <c r="L210" s="248"/>
      <c r="M210" s="248"/>
      <c r="N210" s="248"/>
    </row>
    <row r="211" spans="1:16" x14ac:dyDescent="0.2">
      <c r="A211" s="69" t="s">
        <v>69</v>
      </c>
      <c r="B211" s="35">
        <v>1879610</v>
      </c>
      <c r="C211" s="35">
        <v>1521894</v>
      </c>
      <c r="D211" s="89">
        <v>2374353</v>
      </c>
      <c r="E211" s="32">
        <v>1817060</v>
      </c>
      <c r="F211" s="32">
        <v>1892382</v>
      </c>
      <c r="G211" s="32">
        <v>2358481</v>
      </c>
      <c r="H211" s="32">
        <v>2157436</v>
      </c>
      <c r="I211" s="32">
        <v>1866242</v>
      </c>
      <c r="J211" s="32">
        <v>1894288</v>
      </c>
      <c r="K211" s="234">
        <v>2190416</v>
      </c>
      <c r="L211" s="234">
        <v>2102566</v>
      </c>
      <c r="M211" s="234">
        <v>1758592</v>
      </c>
      <c r="N211" s="234">
        <v>2237243</v>
      </c>
    </row>
    <row r="212" spans="1:16" x14ac:dyDescent="0.2">
      <c r="A212" s="69" t="s">
        <v>70</v>
      </c>
      <c r="B212" s="35">
        <v>465741</v>
      </c>
      <c r="C212" s="35">
        <v>521905</v>
      </c>
      <c r="D212" s="89">
        <v>508247</v>
      </c>
      <c r="E212" s="32">
        <v>544066</v>
      </c>
      <c r="F212" s="32">
        <v>548889</v>
      </c>
      <c r="G212" s="32">
        <v>494979</v>
      </c>
      <c r="H212" s="32">
        <v>536014</v>
      </c>
      <c r="I212" s="32">
        <v>508805</v>
      </c>
      <c r="J212" s="32">
        <v>570842</v>
      </c>
      <c r="K212" s="234">
        <v>438289</v>
      </c>
      <c r="L212" s="234">
        <v>575192</v>
      </c>
      <c r="M212" s="234">
        <v>422830</v>
      </c>
      <c r="N212" s="234">
        <v>447592</v>
      </c>
    </row>
    <row r="213" spans="1:16" x14ac:dyDescent="0.2">
      <c r="A213" s="69" t="s">
        <v>71</v>
      </c>
      <c r="B213" s="35">
        <v>465745</v>
      </c>
      <c r="C213" s="35">
        <v>491505</v>
      </c>
      <c r="D213" s="89">
        <v>399348</v>
      </c>
      <c r="E213" s="32">
        <v>429645</v>
      </c>
      <c r="F213" s="32">
        <v>286830</v>
      </c>
      <c r="G213" s="32">
        <v>360533</v>
      </c>
      <c r="H213" s="32">
        <v>403639</v>
      </c>
      <c r="I213" s="32">
        <v>425491</v>
      </c>
      <c r="J213" s="32">
        <v>491895</v>
      </c>
      <c r="K213" s="234">
        <v>546073</v>
      </c>
      <c r="L213" s="234">
        <v>379458</v>
      </c>
      <c r="M213" s="234">
        <v>474359</v>
      </c>
      <c r="N213" s="234">
        <v>544464</v>
      </c>
    </row>
    <row r="214" spans="1:16" x14ac:dyDescent="0.2">
      <c r="A214" s="69" t="s">
        <v>72</v>
      </c>
      <c r="B214" s="35">
        <v>121368</v>
      </c>
      <c r="C214" s="35">
        <v>188094</v>
      </c>
      <c r="D214" s="89">
        <v>108205</v>
      </c>
      <c r="E214" s="32">
        <v>179225</v>
      </c>
      <c r="F214" s="32">
        <v>118367</v>
      </c>
      <c r="G214" s="32">
        <v>123072</v>
      </c>
      <c r="H214" s="32">
        <v>136653</v>
      </c>
      <c r="I214" s="32">
        <v>147891</v>
      </c>
      <c r="J214" s="32">
        <v>149883</v>
      </c>
      <c r="K214" s="234">
        <v>196085</v>
      </c>
      <c r="L214" s="234">
        <v>159475</v>
      </c>
      <c r="M214" s="234">
        <v>130684</v>
      </c>
      <c r="N214" s="234">
        <v>180778</v>
      </c>
    </row>
    <row r="215" spans="1:16" x14ac:dyDescent="0.2">
      <c r="A215" s="69" t="s">
        <v>73</v>
      </c>
      <c r="B215" s="35">
        <v>3847157</v>
      </c>
      <c r="C215" s="35">
        <v>3823669</v>
      </c>
      <c r="D215" s="89">
        <v>4463818</v>
      </c>
      <c r="E215" s="32">
        <v>3955284</v>
      </c>
      <c r="F215" s="32">
        <v>3950192</v>
      </c>
      <c r="G215" s="32">
        <v>4416223</v>
      </c>
      <c r="H215" s="32">
        <v>4702938</v>
      </c>
      <c r="I215" s="32">
        <v>5861014</v>
      </c>
      <c r="J215" s="32">
        <v>4923580</v>
      </c>
      <c r="K215" s="234">
        <v>4687177</v>
      </c>
      <c r="L215" s="234">
        <v>6040837</v>
      </c>
      <c r="M215" s="234">
        <v>5335325</v>
      </c>
      <c r="N215" s="234">
        <v>5271545</v>
      </c>
    </row>
    <row r="216" spans="1:16" x14ac:dyDescent="0.2">
      <c r="A216" s="69" t="s">
        <v>74</v>
      </c>
      <c r="B216" s="35">
        <v>652</v>
      </c>
      <c r="C216" s="35">
        <v>580</v>
      </c>
      <c r="D216" s="89">
        <v>6282</v>
      </c>
      <c r="E216" s="32">
        <v>7599</v>
      </c>
      <c r="F216" s="32">
        <v>900</v>
      </c>
      <c r="G216" s="32">
        <v>1304</v>
      </c>
      <c r="H216" s="32">
        <v>569</v>
      </c>
      <c r="I216" s="32">
        <v>9169</v>
      </c>
      <c r="J216" s="32">
        <v>27308</v>
      </c>
      <c r="K216" s="234">
        <v>131</v>
      </c>
      <c r="L216" s="234">
        <v>217</v>
      </c>
      <c r="M216" s="234">
        <v>196</v>
      </c>
      <c r="N216" s="234">
        <v>0</v>
      </c>
    </row>
    <row r="217" spans="1:16" x14ac:dyDescent="0.2">
      <c r="A217" s="72" t="s">
        <v>75</v>
      </c>
      <c r="B217" s="35">
        <f>SUM(B211:B216)</f>
        <v>6780273</v>
      </c>
      <c r="C217" s="36">
        <f t="shared" ref="C217:K217" si="93">SUM(C211:C216)</f>
        <v>6547647</v>
      </c>
      <c r="D217" s="307">
        <f t="shared" si="93"/>
        <v>7860253</v>
      </c>
      <c r="E217" s="36">
        <f t="shared" si="93"/>
        <v>6932879</v>
      </c>
      <c r="F217" s="36">
        <f t="shared" si="93"/>
        <v>6797560</v>
      </c>
      <c r="G217" s="36">
        <f t="shared" si="93"/>
        <v>7754592</v>
      </c>
      <c r="H217" s="36">
        <f t="shared" si="93"/>
        <v>7937249</v>
      </c>
      <c r="I217" s="36">
        <f t="shared" si="93"/>
        <v>8818612</v>
      </c>
      <c r="J217" s="36">
        <f t="shared" si="93"/>
        <v>8057796</v>
      </c>
      <c r="K217" s="235">
        <f t="shared" si="93"/>
        <v>8058171</v>
      </c>
      <c r="L217" s="235">
        <f t="shared" ref="L217:N217" si="94">SUM(L211:L216)</f>
        <v>9257745</v>
      </c>
      <c r="M217" s="235">
        <f t="shared" si="94"/>
        <v>8121986</v>
      </c>
      <c r="N217" s="235">
        <f t="shared" si="94"/>
        <v>8681622</v>
      </c>
      <c r="O217" s="294">
        <f>N217-M217</f>
        <v>559636</v>
      </c>
      <c r="P217" s="294">
        <f>N217-(AVERAGE(J217:L217))</f>
        <v>223718</v>
      </c>
    </row>
    <row r="218" spans="1:16" ht="10.9" customHeight="1" x14ac:dyDescent="0.2">
      <c r="A218" s="132" t="s">
        <v>188</v>
      </c>
      <c r="B218" s="40"/>
      <c r="C218" s="40">
        <f t="shared" ref="C218:J218" si="95">(C217-B217)/B217</f>
        <v>-3.4309237990859658E-2</v>
      </c>
      <c r="D218" s="132">
        <f t="shared" si="95"/>
        <v>0.20046987872131775</v>
      </c>
      <c r="E218" s="40">
        <f t="shared" si="95"/>
        <v>-0.11798271633241322</v>
      </c>
      <c r="F218" s="40">
        <f t="shared" si="95"/>
        <v>-1.9518442482553064E-2</v>
      </c>
      <c r="G218" s="40">
        <f t="shared" si="95"/>
        <v>0.14079051895091768</v>
      </c>
      <c r="H218" s="40">
        <f t="shared" si="95"/>
        <v>2.3554688628363685E-2</v>
      </c>
      <c r="I218" s="40">
        <f t="shared" si="95"/>
        <v>0.11104136962315281</v>
      </c>
      <c r="J218" s="40">
        <f t="shared" si="95"/>
        <v>-8.6273894349813779E-2</v>
      </c>
      <c r="K218" s="224">
        <f>(K217-J217)/J217</f>
        <v>4.6538780579701944E-5</v>
      </c>
      <c r="L218" s="224">
        <f>(L217-K217)/K217</f>
        <v>0.14886430183722832</v>
      </c>
      <c r="M218" s="224">
        <f>(M217-L217)/L217</f>
        <v>-0.1226820354200726</v>
      </c>
      <c r="N218" s="224">
        <f>(N217-M217)/M217</f>
        <v>6.8903837066451479E-2</v>
      </c>
    </row>
    <row r="219" spans="1:16" x14ac:dyDescent="0.2">
      <c r="A219" s="69" t="s">
        <v>76</v>
      </c>
      <c r="B219" s="35">
        <v>1108730</v>
      </c>
      <c r="C219" s="32">
        <v>1000787</v>
      </c>
      <c r="D219" s="89">
        <v>936594</v>
      </c>
      <c r="E219" s="32">
        <v>1117555</v>
      </c>
      <c r="F219" s="44">
        <v>897593</v>
      </c>
      <c r="G219" s="32">
        <v>1030634</v>
      </c>
      <c r="H219" s="32">
        <v>1494953</v>
      </c>
      <c r="I219" s="32">
        <v>1547487</v>
      </c>
      <c r="J219" s="32">
        <v>1776226</v>
      </c>
      <c r="K219" s="234">
        <v>1794025</v>
      </c>
      <c r="L219" s="234">
        <f>86119+1971681+42496</f>
        <v>2100296</v>
      </c>
      <c r="M219" s="234">
        <v>1393589</v>
      </c>
      <c r="N219" s="234">
        <v>1965900</v>
      </c>
    </row>
    <row r="220" spans="1:16" x14ac:dyDescent="0.2">
      <c r="A220" s="68" t="s">
        <v>77</v>
      </c>
      <c r="B220" s="36">
        <f>SUM(B219,B217)</f>
        <v>7889003</v>
      </c>
      <c r="C220" s="36">
        <f t="shared" ref="C220:I220" si="96">SUM(C219,C217)</f>
        <v>7548434</v>
      </c>
      <c r="D220" s="307">
        <f t="shared" si="96"/>
        <v>8796847</v>
      </c>
      <c r="E220" s="36">
        <f t="shared" si="96"/>
        <v>8050434</v>
      </c>
      <c r="F220" s="36">
        <f t="shared" si="96"/>
        <v>7695153</v>
      </c>
      <c r="G220" s="36">
        <f t="shared" si="96"/>
        <v>8785226</v>
      </c>
      <c r="H220" s="36">
        <f t="shared" si="96"/>
        <v>9432202</v>
      </c>
      <c r="I220" s="36">
        <f t="shared" si="96"/>
        <v>10366099</v>
      </c>
      <c r="J220" s="36">
        <f>SUM(J219,J217)</f>
        <v>9834022</v>
      </c>
      <c r="K220" s="249">
        <f>SUM(K219,K217)</f>
        <v>9852196</v>
      </c>
      <c r="L220" s="249">
        <f>SUM(L219,L217)</f>
        <v>11358041</v>
      </c>
      <c r="M220" s="249">
        <f>SUM(M219,M217)</f>
        <v>9515575</v>
      </c>
      <c r="N220" s="249">
        <f>SUM(N219,N217)</f>
        <v>10647522</v>
      </c>
      <c r="O220" s="294">
        <f>N220-M220</f>
        <v>1131947</v>
      </c>
      <c r="P220" s="294">
        <f>N220-(AVERAGE(J220:L220))</f>
        <v>299435.66666666605</v>
      </c>
    </row>
    <row r="221" spans="1:16" ht="10.9" customHeight="1" x14ac:dyDescent="0.2">
      <c r="A221" s="132" t="s">
        <v>188</v>
      </c>
      <c r="B221" s="40"/>
      <c r="C221" s="40">
        <f t="shared" ref="C221:J221" si="97">(C220-B220)/B220</f>
        <v>-4.317009386357186E-2</v>
      </c>
      <c r="D221" s="132">
        <f t="shared" si="97"/>
        <v>0.16538701934732422</v>
      </c>
      <c r="E221" s="40">
        <f t="shared" si="97"/>
        <v>-8.4850060481897666E-2</v>
      </c>
      <c r="F221" s="40">
        <f t="shared" si="97"/>
        <v>-4.4131906428895633E-2</v>
      </c>
      <c r="G221" s="40">
        <f t="shared" si="97"/>
        <v>0.14165709245807068</v>
      </c>
      <c r="H221" s="40">
        <f t="shared" si="97"/>
        <v>7.3643637625258593E-2</v>
      </c>
      <c r="I221" s="40">
        <f t="shared" si="97"/>
        <v>9.9011556368279643E-2</v>
      </c>
      <c r="J221" s="40">
        <f t="shared" si="97"/>
        <v>-5.1328566319885617E-2</v>
      </c>
      <c r="K221" s="224">
        <f>(K220-J220)/J220</f>
        <v>1.8480739620065931E-3</v>
      </c>
      <c r="L221" s="224">
        <f>(L220-K220)/K220</f>
        <v>0.15284358938859927</v>
      </c>
      <c r="M221" s="224">
        <f>(M220-L220)/L220</f>
        <v>-0.16221688229510706</v>
      </c>
      <c r="N221" s="224">
        <f>(N220-M220)/M220</f>
        <v>0.11895728844552221</v>
      </c>
    </row>
    <row r="222" spans="1:16" x14ac:dyDescent="0.2">
      <c r="A222" s="69" t="s">
        <v>55</v>
      </c>
      <c r="B222" s="35">
        <v>-99680</v>
      </c>
      <c r="C222" s="32">
        <v>-64239</v>
      </c>
      <c r="D222" s="89">
        <v>127688</v>
      </c>
      <c r="E222" s="32">
        <v>-40672</v>
      </c>
      <c r="F222" s="32">
        <v>212011</v>
      </c>
      <c r="G222" s="32">
        <v>6245</v>
      </c>
      <c r="H222" s="32">
        <v>5342</v>
      </c>
      <c r="I222" s="32">
        <v>59986</v>
      </c>
      <c r="J222" s="32">
        <v>51229</v>
      </c>
      <c r="K222" s="234">
        <v>-19662</v>
      </c>
      <c r="L222" s="234">
        <v>-93641</v>
      </c>
      <c r="M222" s="234">
        <v>93557</v>
      </c>
      <c r="N222" s="234">
        <v>29976</v>
      </c>
    </row>
    <row r="223" spans="1:16" x14ac:dyDescent="0.2">
      <c r="A223" s="88" t="s">
        <v>78</v>
      </c>
      <c r="B223" s="85"/>
      <c r="C223" s="90"/>
      <c r="D223" s="390"/>
      <c r="E223" s="90"/>
      <c r="F223" s="87"/>
      <c r="G223" s="41"/>
      <c r="H223" s="27"/>
      <c r="I223" s="41"/>
      <c r="J223" s="27"/>
      <c r="K223" s="248"/>
      <c r="L223" s="248"/>
      <c r="M223" s="248"/>
      <c r="N223" s="248"/>
    </row>
    <row r="224" spans="1:16" x14ac:dyDescent="0.2">
      <c r="A224" s="69" t="s">
        <v>355</v>
      </c>
      <c r="B224" s="35">
        <v>258454</v>
      </c>
      <c r="C224" s="32">
        <v>291587</v>
      </c>
      <c r="D224" s="89">
        <v>252694</v>
      </c>
      <c r="E224" s="32">
        <v>241219</v>
      </c>
      <c r="F224" s="32">
        <v>257012</v>
      </c>
      <c r="G224" s="32">
        <v>258980</v>
      </c>
      <c r="H224" s="32">
        <v>265364</v>
      </c>
      <c r="I224" s="32">
        <v>270383</v>
      </c>
      <c r="J224" s="32">
        <v>258767</v>
      </c>
      <c r="K224" s="234">
        <v>270229</v>
      </c>
      <c r="L224" s="234">
        <v>288697</v>
      </c>
      <c r="M224" s="234">
        <v>284672</v>
      </c>
      <c r="N224" s="234">
        <v>281317</v>
      </c>
    </row>
    <row r="225" spans="1:16" x14ac:dyDescent="0.2">
      <c r="A225" s="69" t="s">
        <v>357</v>
      </c>
      <c r="B225" s="35">
        <v>4358236</v>
      </c>
      <c r="C225" s="32">
        <v>4721788</v>
      </c>
      <c r="D225" s="89">
        <v>4337126</v>
      </c>
      <c r="E225" s="32">
        <v>4309552</v>
      </c>
      <c r="F225" s="32">
        <v>4276935</v>
      </c>
      <c r="G225" s="32">
        <v>4161894</v>
      </c>
      <c r="H225" s="32">
        <v>3712083</v>
      </c>
      <c r="I225" s="32">
        <v>3942827</v>
      </c>
      <c r="J225" s="32">
        <v>4032078</v>
      </c>
      <c r="K225" s="234">
        <v>4301655</v>
      </c>
      <c r="L225" s="234">
        <v>4299036</v>
      </c>
      <c r="M225" s="234">
        <v>4914387</v>
      </c>
      <c r="N225" s="234">
        <v>4469075</v>
      </c>
    </row>
    <row r="226" spans="1:16" x14ac:dyDescent="0.2">
      <c r="A226" s="69" t="s">
        <v>358</v>
      </c>
      <c r="B226" s="35">
        <v>918117</v>
      </c>
      <c r="C226" s="32">
        <v>608647</v>
      </c>
      <c r="D226" s="89">
        <v>522831</v>
      </c>
      <c r="E226" s="32">
        <v>777000</v>
      </c>
      <c r="F226" s="32">
        <v>863794</v>
      </c>
      <c r="G226" s="32">
        <v>659948</v>
      </c>
      <c r="H226" s="32">
        <v>728818</v>
      </c>
      <c r="I226" s="32">
        <v>642574</v>
      </c>
      <c r="J226" s="32">
        <v>816468</v>
      </c>
      <c r="K226" s="234">
        <v>697151</v>
      </c>
      <c r="L226" s="234">
        <v>784893</v>
      </c>
      <c r="M226" s="234">
        <v>1106577</v>
      </c>
      <c r="N226" s="234">
        <v>910371</v>
      </c>
    </row>
    <row r="227" spans="1:16" x14ac:dyDescent="0.2">
      <c r="A227" s="69" t="s">
        <v>79</v>
      </c>
      <c r="B227" s="35">
        <v>46138</v>
      </c>
      <c r="C227" s="32">
        <v>46202</v>
      </c>
      <c r="D227" s="89">
        <v>43221</v>
      </c>
      <c r="E227" s="32">
        <v>40658</v>
      </c>
      <c r="F227" s="32">
        <v>39552</v>
      </c>
      <c r="G227" s="32">
        <v>37409</v>
      </c>
      <c r="H227" s="32">
        <v>46073</v>
      </c>
      <c r="I227" s="32">
        <v>140597</v>
      </c>
      <c r="J227" s="32">
        <v>288394</v>
      </c>
      <c r="K227" s="234">
        <v>419715</v>
      </c>
      <c r="L227" s="234">
        <v>381536</v>
      </c>
      <c r="M227" s="234">
        <v>76581</v>
      </c>
      <c r="N227" s="234">
        <v>105973</v>
      </c>
    </row>
    <row r="228" spans="1:16" x14ac:dyDescent="0.2">
      <c r="A228" s="143" t="s">
        <v>80</v>
      </c>
      <c r="B228" s="36">
        <f>SUM(B224:B227)</f>
        <v>5580945</v>
      </c>
      <c r="C228" s="36">
        <f t="shared" ref="C228:K228" si="98">SUM(C224:C227)</f>
        <v>5668224</v>
      </c>
      <c r="D228" s="307">
        <f t="shared" si="98"/>
        <v>5155872</v>
      </c>
      <c r="E228" s="36">
        <f t="shared" si="98"/>
        <v>5368429</v>
      </c>
      <c r="F228" s="36">
        <f t="shared" si="98"/>
        <v>5437293</v>
      </c>
      <c r="G228" s="36">
        <f t="shared" si="98"/>
        <v>5118231</v>
      </c>
      <c r="H228" s="52">
        <f t="shared" si="98"/>
        <v>4752338</v>
      </c>
      <c r="I228" s="52">
        <f t="shared" si="98"/>
        <v>4996381</v>
      </c>
      <c r="J228" s="52">
        <f t="shared" si="98"/>
        <v>5395707</v>
      </c>
      <c r="K228" s="250">
        <f t="shared" si="98"/>
        <v>5688750</v>
      </c>
      <c r="L228" s="250">
        <f t="shared" ref="L228:N228" si="99">SUM(L224:L227)</f>
        <v>5754162</v>
      </c>
      <c r="M228" s="250">
        <f t="shared" si="99"/>
        <v>6382217</v>
      </c>
      <c r="N228" s="250">
        <f t="shared" si="99"/>
        <v>5766736</v>
      </c>
      <c r="O228" s="294">
        <f>N228-M228</f>
        <v>-615481</v>
      </c>
      <c r="P228" s="294">
        <f>N228-(AVERAGE(J228:L228))</f>
        <v>153863</v>
      </c>
    </row>
    <row r="229" spans="1:16" ht="10.9" customHeight="1" x14ac:dyDescent="0.2">
      <c r="A229" s="132" t="s">
        <v>188</v>
      </c>
      <c r="B229" s="40"/>
      <c r="C229" s="40">
        <f t="shared" ref="C229:J229" si="100">(C228-B228)/B228</f>
        <v>1.5638749351588307E-2</v>
      </c>
      <c r="D229" s="132">
        <f t="shared" si="100"/>
        <v>-9.03902174649414E-2</v>
      </c>
      <c r="E229" s="40">
        <f t="shared" si="100"/>
        <v>4.1226198012673708E-2</v>
      </c>
      <c r="F229" s="40">
        <f t="shared" si="100"/>
        <v>1.2827588853275325E-2</v>
      </c>
      <c r="G229" s="40">
        <f t="shared" si="100"/>
        <v>-5.8680302863943511E-2</v>
      </c>
      <c r="H229" s="40">
        <f t="shared" si="100"/>
        <v>-7.1488176285908159E-2</v>
      </c>
      <c r="I229" s="40">
        <f t="shared" si="100"/>
        <v>5.1352197592006293E-2</v>
      </c>
      <c r="J229" s="40">
        <f t="shared" si="100"/>
        <v>7.9923048302361244E-2</v>
      </c>
      <c r="K229" s="224">
        <f>(K228-J228)/J228</f>
        <v>5.4310398989418814E-2</v>
      </c>
      <c r="L229" s="224">
        <f>(L228-K228)/K228</f>
        <v>1.1498483849703362E-2</v>
      </c>
      <c r="M229" s="224">
        <f>(M228-L228)/L228</f>
        <v>0.10914795238646392</v>
      </c>
      <c r="N229" s="224">
        <f>(N228-M228)/M228</f>
        <v>-9.6436865120693951E-2</v>
      </c>
    </row>
    <row r="230" spans="1:16" x14ac:dyDescent="0.2">
      <c r="A230" s="69" t="s">
        <v>81</v>
      </c>
      <c r="B230" s="35">
        <v>75240</v>
      </c>
      <c r="C230" s="32">
        <v>54899</v>
      </c>
      <c r="D230" s="89">
        <v>48313</v>
      </c>
      <c r="E230" s="32">
        <v>50667</v>
      </c>
      <c r="F230" s="32">
        <v>48267</v>
      </c>
      <c r="G230" s="32">
        <v>58847</v>
      </c>
      <c r="H230" s="32">
        <v>56275</v>
      </c>
      <c r="I230" s="32">
        <v>53581</v>
      </c>
      <c r="J230" s="32">
        <v>55952</v>
      </c>
      <c r="K230" s="234">
        <v>47906</v>
      </c>
      <c r="L230" s="234">
        <v>43821</v>
      </c>
      <c r="M230" s="234">
        <v>45273</v>
      </c>
      <c r="N230" s="234">
        <v>47304</v>
      </c>
    </row>
    <row r="231" spans="1:16" x14ac:dyDescent="0.2">
      <c r="A231" s="69" t="s">
        <v>82</v>
      </c>
      <c r="B231" s="35">
        <v>1352646</v>
      </c>
      <c r="C231" s="32">
        <v>1377859</v>
      </c>
      <c r="D231" s="89">
        <v>1660611</v>
      </c>
      <c r="E231" s="32">
        <v>1637825</v>
      </c>
      <c r="F231" s="32">
        <v>1360295</v>
      </c>
      <c r="G231" s="32">
        <v>1507492</v>
      </c>
      <c r="H231" s="32">
        <v>1249985</v>
      </c>
      <c r="I231" s="32">
        <v>1702717</v>
      </c>
      <c r="J231" s="32">
        <v>1857032</v>
      </c>
      <c r="K231" s="234">
        <v>2016717</v>
      </c>
      <c r="L231" s="234">
        <v>1960433</v>
      </c>
      <c r="M231" s="234">
        <v>2333359</v>
      </c>
      <c r="N231" s="234">
        <v>2574651</v>
      </c>
    </row>
    <row r="232" spans="1:16" x14ac:dyDescent="0.2">
      <c r="A232" s="69" t="s">
        <v>367</v>
      </c>
      <c r="B232" s="35"/>
      <c r="C232" s="32"/>
      <c r="D232" s="89"/>
      <c r="E232" s="32">
        <v>18762</v>
      </c>
      <c r="F232" s="32">
        <v>658463</v>
      </c>
      <c r="G232" s="32">
        <v>504042</v>
      </c>
      <c r="H232" s="32">
        <v>600862</v>
      </c>
      <c r="I232" s="32">
        <v>499756</v>
      </c>
      <c r="J232" s="32">
        <v>494065</v>
      </c>
      <c r="K232" s="234">
        <v>530589</v>
      </c>
      <c r="L232" s="234">
        <v>571314</v>
      </c>
      <c r="M232" s="234">
        <v>604636</v>
      </c>
      <c r="N232" s="234">
        <v>389649</v>
      </c>
    </row>
    <row r="233" spans="1:16" x14ac:dyDescent="0.2">
      <c r="A233" s="68" t="s">
        <v>83</v>
      </c>
      <c r="B233" s="36">
        <f>SUM(B230:B231)</f>
        <v>1427886</v>
      </c>
      <c r="C233" s="36">
        <f t="shared" ref="C233:D233" si="101">SUM(C230:C231)</f>
        <v>1432758</v>
      </c>
      <c r="D233" s="307">
        <f t="shared" si="101"/>
        <v>1708924</v>
      </c>
      <c r="E233" s="36">
        <f t="shared" ref="E233:N233" si="102">SUM(E230:E232)</f>
        <v>1707254</v>
      </c>
      <c r="F233" s="36">
        <f t="shared" si="102"/>
        <v>2067025</v>
      </c>
      <c r="G233" s="36">
        <f t="shared" si="102"/>
        <v>2070381</v>
      </c>
      <c r="H233" s="36">
        <f t="shared" si="102"/>
        <v>1907122</v>
      </c>
      <c r="I233" s="36">
        <f t="shared" si="102"/>
        <v>2256054</v>
      </c>
      <c r="J233" s="36">
        <f t="shared" si="102"/>
        <v>2407049</v>
      </c>
      <c r="K233" s="249">
        <f t="shared" si="102"/>
        <v>2595212</v>
      </c>
      <c r="L233" s="249">
        <f t="shared" si="102"/>
        <v>2575568</v>
      </c>
      <c r="M233" s="249">
        <f t="shared" si="102"/>
        <v>2983268</v>
      </c>
      <c r="N233" s="249">
        <f t="shared" si="102"/>
        <v>3011604</v>
      </c>
      <c r="O233" s="294">
        <f>N233-M233</f>
        <v>28336</v>
      </c>
      <c r="P233" s="294">
        <f>N233-(AVERAGE(J233:L233))</f>
        <v>485661</v>
      </c>
    </row>
    <row r="234" spans="1:16" ht="10.9" customHeight="1" x14ac:dyDescent="0.2">
      <c r="A234" s="132" t="s">
        <v>188</v>
      </c>
      <c r="B234" s="40"/>
      <c r="C234" s="40">
        <f t="shared" ref="C234:J234" si="103">(C233-B233)/B233</f>
        <v>3.4120370953983721E-3</v>
      </c>
      <c r="D234" s="132">
        <f t="shared" si="103"/>
        <v>0.19275132297289563</v>
      </c>
      <c r="E234" s="40">
        <f t="shared" si="103"/>
        <v>-9.7722309476606342E-4</v>
      </c>
      <c r="F234" s="40">
        <f t="shared" si="103"/>
        <v>0.21073079928352781</v>
      </c>
      <c r="G234" s="40">
        <f t="shared" si="103"/>
        <v>1.6235894582794113E-3</v>
      </c>
      <c r="H234" s="40">
        <f t="shared" si="103"/>
        <v>-7.8854568313754814E-2</v>
      </c>
      <c r="I234" s="40">
        <f t="shared" si="103"/>
        <v>0.1829626001902343</v>
      </c>
      <c r="J234" s="40">
        <f t="shared" si="103"/>
        <v>6.6928805782131104E-2</v>
      </c>
      <c r="K234" s="224">
        <f>(K233-J233)/J233</f>
        <v>7.8171653339836458E-2</v>
      </c>
      <c r="L234" s="224">
        <f>(L233-K233)/K233</f>
        <v>-7.5693238163202078E-3</v>
      </c>
      <c r="M234" s="224">
        <f>(M233-L233)/L233</f>
        <v>0.15829517993700806</v>
      </c>
      <c r="N234" s="224">
        <f>(N233-M233)/M233</f>
        <v>9.4983085663105024E-3</v>
      </c>
    </row>
    <row r="235" spans="1:16" x14ac:dyDescent="0.2">
      <c r="A235" s="68" t="s">
        <v>26</v>
      </c>
      <c r="B235" s="36">
        <f>SUM(B233,B228)</f>
        <v>7008831</v>
      </c>
      <c r="C235" s="36">
        <f t="shared" ref="C235:K235" si="104">SUM(C233,C228)</f>
        <v>7100982</v>
      </c>
      <c r="D235" s="307">
        <f t="shared" si="104"/>
        <v>6864796</v>
      </c>
      <c r="E235" s="36">
        <f t="shared" si="104"/>
        <v>7075683</v>
      </c>
      <c r="F235" s="36">
        <f t="shared" si="104"/>
        <v>7504318</v>
      </c>
      <c r="G235" s="36">
        <f t="shared" si="104"/>
        <v>7188612</v>
      </c>
      <c r="H235" s="36">
        <f t="shared" si="104"/>
        <v>6659460</v>
      </c>
      <c r="I235" s="36">
        <f t="shared" si="104"/>
        <v>7252435</v>
      </c>
      <c r="J235" s="39">
        <f t="shared" si="104"/>
        <v>7802756</v>
      </c>
      <c r="K235" s="750">
        <f t="shared" si="104"/>
        <v>8283962</v>
      </c>
      <c r="L235" s="750">
        <f t="shared" ref="L235:N235" si="105">SUM(L233,L228)</f>
        <v>8329730</v>
      </c>
      <c r="M235" s="249">
        <f t="shared" si="105"/>
        <v>9365485</v>
      </c>
      <c r="N235" s="249">
        <f t="shared" si="105"/>
        <v>8778340</v>
      </c>
      <c r="O235" s="294">
        <f>N235-M235</f>
        <v>-587145</v>
      </c>
      <c r="P235" s="294">
        <f>N235-(AVERAGE(J235:L235))</f>
        <v>639524</v>
      </c>
    </row>
    <row r="236" spans="1:16" x14ac:dyDescent="0.2">
      <c r="A236" s="69" t="s">
        <v>57</v>
      </c>
      <c r="B236" s="35">
        <v>122714</v>
      </c>
      <c r="C236" s="32">
        <v>-50446</v>
      </c>
      <c r="D236" s="89">
        <v>183380</v>
      </c>
      <c r="E236" s="32">
        <v>200431</v>
      </c>
      <c r="F236" s="32">
        <v>303722</v>
      </c>
      <c r="G236" s="32">
        <v>485967</v>
      </c>
      <c r="H236" s="32">
        <v>388844</v>
      </c>
      <c r="I236" s="32">
        <v>195775</v>
      </c>
      <c r="J236" s="32">
        <v>459835</v>
      </c>
      <c r="K236" s="234">
        <v>-35463</v>
      </c>
      <c r="L236" s="234">
        <v>197247</v>
      </c>
      <c r="M236" s="234">
        <v>1103895</v>
      </c>
      <c r="N236" s="234">
        <v>1016667</v>
      </c>
    </row>
    <row r="237" spans="1:16" x14ac:dyDescent="0.2">
      <c r="A237" s="68" t="s">
        <v>84</v>
      </c>
      <c r="B237" s="36">
        <f>SUM(B235:B236)</f>
        <v>7131545</v>
      </c>
      <c r="C237" s="36">
        <f t="shared" ref="C237:H237" si="106">SUM(C235:C236)</f>
        <v>7050536</v>
      </c>
      <c r="D237" s="307">
        <f t="shared" si="106"/>
        <v>7048176</v>
      </c>
      <c r="E237" s="39">
        <f t="shared" si="106"/>
        <v>7276114</v>
      </c>
      <c r="F237" s="36">
        <f t="shared" si="106"/>
        <v>7808040</v>
      </c>
      <c r="G237" s="36">
        <f t="shared" si="106"/>
        <v>7674579</v>
      </c>
      <c r="H237" s="36">
        <f t="shared" si="106"/>
        <v>7048304</v>
      </c>
      <c r="I237" s="36">
        <f t="shared" ref="I237:N237" si="107">SUM(I235:I236)</f>
        <v>7448210</v>
      </c>
      <c r="J237" s="36">
        <f t="shared" si="107"/>
        <v>8262591</v>
      </c>
      <c r="K237" s="249">
        <f>SUM(K235:K236)</f>
        <v>8248499</v>
      </c>
      <c r="L237" s="249">
        <f t="shared" si="107"/>
        <v>8526977</v>
      </c>
      <c r="M237" s="249">
        <f t="shared" si="107"/>
        <v>10469380</v>
      </c>
      <c r="N237" s="249">
        <f t="shared" si="107"/>
        <v>9795007</v>
      </c>
      <c r="O237" s="294">
        <f>N237-M237</f>
        <v>-674373</v>
      </c>
      <c r="P237" s="294">
        <f>N237-(AVERAGE(J237:L237))</f>
        <v>1448984.666666667</v>
      </c>
    </row>
    <row r="238" spans="1:16" ht="10.9" customHeight="1" x14ac:dyDescent="0.2">
      <c r="A238" s="132" t="s">
        <v>188</v>
      </c>
      <c r="B238" s="40"/>
      <c r="C238" s="40">
        <f t="shared" ref="C238:J238" si="108">(C237-B237)/B237</f>
        <v>-1.1359249643660665E-2</v>
      </c>
      <c r="D238" s="132">
        <f t="shared" si="108"/>
        <v>-3.3472632435321229E-4</v>
      </c>
      <c r="E238" s="40">
        <f t="shared" si="108"/>
        <v>3.2339998320132755E-2</v>
      </c>
      <c r="F238" s="40">
        <f t="shared" si="108"/>
        <v>7.310578146521618E-2</v>
      </c>
      <c r="G238" s="40">
        <f t="shared" si="108"/>
        <v>-1.7092765918207388E-2</v>
      </c>
      <c r="H238" s="40">
        <f t="shared" si="108"/>
        <v>-8.1603824783092332E-2</v>
      </c>
      <c r="I238" s="40">
        <f t="shared" si="108"/>
        <v>5.6737904607973774E-2</v>
      </c>
      <c r="J238" s="40">
        <f t="shared" si="108"/>
        <v>0.10933915665643154</v>
      </c>
      <c r="K238" s="224">
        <f>(K237-J237)/J237</f>
        <v>-1.7055182811299748E-3</v>
      </c>
      <c r="L238" s="224">
        <f>(L237-K237)/K237</f>
        <v>3.376105155616798E-2</v>
      </c>
      <c r="M238" s="224">
        <f>(M237-L237)/L237</f>
        <v>0.22779503216673389</v>
      </c>
      <c r="N238" s="224">
        <f>(N237-M237)/M237</f>
        <v>-6.4413843035595233E-2</v>
      </c>
    </row>
    <row r="239" spans="1:16" x14ac:dyDescent="0.2">
      <c r="A239" s="88" t="s">
        <v>85</v>
      </c>
      <c r="B239" s="85"/>
      <c r="C239" s="90"/>
      <c r="D239" s="390"/>
      <c r="E239" s="90"/>
      <c r="F239" s="90"/>
      <c r="G239" s="41"/>
      <c r="H239" s="41"/>
      <c r="I239" s="41"/>
      <c r="J239" s="27"/>
      <c r="K239" s="248"/>
      <c r="L239" s="248"/>
      <c r="M239" s="248"/>
      <c r="N239" s="248"/>
    </row>
    <row r="240" spans="1:16" x14ac:dyDescent="0.2">
      <c r="A240" s="69" t="s">
        <v>264</v>
      </c>
      <c r="B240" s="85"/>
      <c r="C240" s="90"/>
      <c r="D240" s="390"/>
      <c r="E240" s="90"/>
      <c r="F240" s="90"/>
      <c r="G240" s="41"/>
      <c r="H240" s="41"/>
      <c r="I240" s="41"/>
      <c r="J240" s="27"/>
      <c r="K240" s="248"/>
      <c r="L240" s="325">
        <v>0</v>
      </c>
      <c r="M240" s="325">
        <v>0</v>
      </c>
      <c r="N240" s="325">
        <v>0</v>
      </c>
    </row>
    <row r="241" spans="1:16" x14ac:dyDescent="0.2">
      <c r="A241" s="69" t="s">
        <v>62</v>
      </c>
      <c r="B241" s="35">
        <v>1794310</v>
      </c>
      <c r="C241" s="32">
        <v>2024372</v>
      </c>
      <c r="D241" s="89">
        <v>2486055</v>
      </c>
      <c r="E241" s="32">
        <v>2411197</v>
      </c>
      <c r="F241" s="32">
        <v>2157207</v>
      </c>
      <c r="G241" s="32">
        <v>2270925</v>
      </c>
      <c r="H241" s="32">
        <v>3686434</v>
      </c>
      <c r="I241" s="32">
        <v>3704068</v>
      </c>
      <c r="J241" s="32">
        <v>3907986</v>
      </c>
      <c r="K241" s="234">
        <v>3892491</v>
      </c>
      <c r="L241" s="234">
        <v>5594101</v>
      </c>
      <c r="M241" s="234">
        <v>3705889</v>
      </c>
      <c r="N241" s="234">
        <v>3978331</v>
      </c>
    </row>
    <row r="242" spans="1:16" x14ac:dyDescent="0.2">
      <c r="A242" s="69" t="s">
        <v>63</v>
      </c>
      <c r="B242" s="35">
        <v>1900029</v>
      </c>
      <c r="C242" s="32">
        <v>1582876</v>
      </c>
      <c r="D242" s="89">
        <v>2409843</v>
      </c>
      <c r="E242" s="32">
        <v>1156958</v>
      </c>
      <c r="F242" s="32">
        <v>1044446</v>
      </c>
      <c r="G242" s="32">
        <v>1213323</v>
      </c>
      <c r="H242" s="32">
        <v>1524262</v>
      </c>
      <c r="I242" s="32">
        <v>2234232</v>
      </c>
      <c r="J242" s="32">
        <v>1893371</v>
      </c>
      <c r="K242" s="234">
        <v>1693208</v>
      </c>
      <c r="L242" s="234">
        <v>1624685</v>
      </c>
      <c r="M242" s="234">
        <v>2014947</v>
      </c>
      <c r="N242" s="234">
        <v>1766570</v>
      </c>
    </row>
    <row r="243" spans="1:16" x14ac:dyDescent="0.2">
      <c r="A243" s="69" t="s">
        <v>64</v>
      </c>
      <c r="B243" s="32">
        <v>0</v>
      </c>
      <c r="C243" s="32">
        <v>0</v>
      </c>
      <c r="D243" s="89">
        <v>0</v>
      </c>
      <c r="E243" s="32">
        <v>1622237</v>
      </c>
      <c r="F243" s="32">
        <v>1554110</v>
      </c>
      <c r="G243" s="32">
        <v>1733185</v>
      </c>
      <c r="H243" s="32">
        <v>1789387</v>
      </c>
      <c r="I243" s="32">
        <v>2880415</v>
      </c>
      <c r="J243" s="32">
        <v>3319301</v>
      </c>
      <c r="K243" s="234">
        <v>3714872</v>
      </c>
      <c r="L243" s="234">
        <v>3809743</v>
      </c>
      <c r="M243" s="234">
        <v>3046053</v>
      </c>
      <c r="N243" s="234">
        <v>2022216</v>
      </c>
    </row>
    <row r="244" spans="1:16" x14ac:dyDescent="0.2">
      <c r="A244" s="68" t="s">
        <v>86</v>
      </c>
      <c r="B244" s="36">
        <f>SUM(B241:B243)</f>
        <v>3694339</v>
      </c>
      <c r="C244" s="36">
        <f t="shared" ref="C244:K244" si="109">SUM(C241:C243)</f>
        <v>3607248</v>
      </c>
      <c r="D244" s="307">
        <f t="shared" si="109"/>
        <v>4895898</v>
      </c>
      <c r="E244" s="36">
        <f t="shared" si="109"/>
        <v>5190392</v>
      </c>
      <c r="F244" s="36">
        <f t="shared" si="109"/>
        <v>4755763</v>
      </c>
      <c r="G244" s="36">
        <f t="shared" si="109"/>
        <v>5217433</v>
      </c>
      <c r="H244" s="36">
        <f t="shared" si="109"/>
        <v>7000083</v>
      </c>
      <c r="I244" s="36">
        <f t="shared" si="109"/>
        <v>8818715</v>
      </c>
      <c r="J244" s="36">
        <f t="shared" si="109"/>
        <v>9120658</v>
      </c>
      <c r="K244" s="235">
        <f t="shared" si="109"/>
        <v>9300571</v>
      </c>
      <c r="L244" s="235">
        <f>SUM(L240:L243)</f>
        <v>11028529</v>
      </c>
      <c r="M244" s="235">
        <f>SUM(M240:M243)</f>
        <v>8766889</v>
      </c>
      <c r="N244" s="235">
        <f>SUM(N240:N243)</f>
        <v>7767117</v>
      </c>
      <c r="O244" s="294">
        <f>N244-M244</f>
        <v>-999772</v>
      </c>
      <c r="P244" s="294">
        <f>N244-(AVERAGE(J244:L244))</f>
        <v>-2049469</v>
      </c>
    </row>
    <row r="245" spans="1:16" ht="10.9" customHeight="1" x14ac:dyDescent="0.2">
      <c r="A245" s="132" t="s">
        <v>188</v>
      </c>
      <c r="B245" s="40"/>
      <c r="C245" s="40">
        <f t="shared" ref="C245:J245" si="110">(C244-B244)/B244</f>
        <v>-2.3574176598303513E-2</v>
      </c>
      <c r="D245" s="132">
        <f t="shared" si="110"/>
        <v>0.35723909196151749</v>
      </c>
      <c r="E245" s="40">
        <f t="shared" si="110"/>
        <v>6.0151171450058806E-2</v>
      </c>
      <c r="F245" s="40">
        <f t="shared" si="110"/>
        <v>-8.3737220618404162E-2</v>
      </c>
      <c r="G245" s="40">
        <f t="shared" si="110"/>
        <v>9.7075905590753783E-2</v>
      </c>
      <c r="H245" s="40">
        <f t="shared" si="110"/>
        <v>0.34167185280577633</v>
      </c>
      <c r="I245" s="40">
        <f t="shared" si="110"/>
        <v>0.25980149092517901</v>
      </c>
      <c r="J245" s="40">
        <f t="shared" si="110"/>
        <v>3.4238888545553403E-2</v>
      </c>
      <c r="K245" s="224">
        <f>(K244-J244)/J244</f>
        <v>1.9725879426681716E-2</v>
      </c>
      <c r="L245" s="224">
        <f>(L244-K244)/K244</f>
        <v>0.18579052834498011</v>
      </c>
      <c r="M245" s="224">
        <f>(M244-L244)/L244</f>
        <v>-0.20507177339788471</v>
      </c>
      <c r="N245" s="224">
        <f>(N244-M244)/M244</f>
        <v>-0.11403954127855388</v>
      </c>
    </row>
    <row r="246" spans="1:16" x14ac:dyDescent="0.2">
      <c r="A246" s="144" t="s">
        <v>87</v>
      </c>
      <c r="B246" s="61">
        <f t="shared" ref="B246:H246" si="111">SUM(B208+B220+B222-B237)</f>
        <v>3694339</v>
      </c>
      <c r="C246" s="61">
        <f t="shared" si="111"/>
        <v>3607248</v>
      </c>
      <c r="D246" s="391">
        <f t="shared" si="111"/>
        <v>4895898</v>
      </c>
      <c r="E246" s="61">
        <f t="shared" si="111"/>
        <v>5190392</v>
      </c>
      <c r="F246" s="61">
        <f t="shared" si="111"/>
        <v>4755763</v>
      </c>
      <c r="G246" s="61">
        <f t="shared" si="111"/>
        <v>5217433</v>
      </c>
      <c r="H246" s="61">
        <f t="shared" si="111"/>
        <v>7000083</v>
      </c>
      <c r="I246" s="61">
        <f t="shared" ref="I246:N246" si="112">SUM(I208+I220+I222-I237)</f>
        <v>8818715</v>
      </c>
      <c r="J246" s="61">
        <f t="shared" si="112"/>
        <v>9120658</v>
      </c>
      <c r="K246" s="251">
        <f t="shared" si="112"/>
        <v>9300571</v>
      </c>
      <c r="L246" s="251">
        <f t="shared" si="112"/>
        <v>11040202</v>
      </c>
      <c r="M246" s="251">
        <f t="shared" si="112"/>
        <v>8766889</v>
      </c>
      <c r="N246" s="251">
        <f t="shared" si="112"/>
        <v>7767117</v>
      </c>
    </row>
    <row r="247" spans="1:16" x14ac:dyDescent="0.2">
      <c r="A247" s="434" t="s">
        <v>209</v>
      </c>
      <c r="B247" s="121">
        <f>SUM(B244/B237)</f>
        <v>0.51802786072302709</v>
      </c>
      <c r="C247" s="121">
        <f t="shared" ref="C247:K247" si="113">SUM(C244/C237)</f>
        <v>0.51162748477562559</v>
      </c>
      <c r="D247" s="396">
        <f t="shared" si="113"/>
        <v>0.69463333492239698</v>
      </c>
      <c r="E247" s="121">
        <f t="shared" si="113"/>
        <v>0.71334671226976376</v>
      </c>
      <c r="F247" s="121">
        <f t="shared" si="113"/>
        <v>0.60908537866097001</v>
      </c>
      <c r="G247" s="121">
        <f t="shared" si="113"/>
        <v>0.67983312179078492</v>
      </c>
      <c r="H247" s="121">
        <f t="shared" si="113"/>
        <v>0.99315849600130757</v>
      </c>
      <c r="I247" s="121">
        <f t="shared" si="113"/>
        <v>1.1840046131889408</v>
      </c>
      <c r="J247" s="121">
        <f t="shared" si="113"/>
        <v>1.1038496277983505</v>
      </c>
      <c r="K247" s="438">
        <f t="shared" si="113"/>
        <v>1.1275470846271547</v>
      </c>
      <c r="L247" s="438">
        <f t="shared" ref="L247:N247" si="114">SUM(L244/L237)</f>
        <v>1.293369150638028</v>
      </c>
      <c r="M247" s="438">
        <f t="shared" si="114"/>
        <v>0.83738378012833614</v>
      </c>
      <c r="N247" s="438">
        <f t="shared" si="114"/>
        <v>0.79296696776224862</v>
      </c>
    </row>
    <row r="248" spans="1:16" s="433" customFormat="1" ht="6" customHeight="1" x14ac:dyDescent="0.2">
      <c r="A248" s="137"/>
      <c r="B248" s="138"/>
      <c r="C248" s="138"/>
      <c r="D248" s="138"/>
      <c r="E248" s="402"/>
      <c r="F248" s="412"/>
      <c r="G248" s="316"/>
      <c r="H248" s="316"/>
      <c r="I248" s="316"/>
      <c r="J248" s="316"/>
      <c r="K248" s="437"/>
      <c r="L248" s="437"/>
      <c r="M248" s="437"/>
      <c r="N248" s="437"/>
    </row>
    <row r="249" spans="1:16" x14ac:dyDescent="0.2">
      <c r="A249" s="111"/>
      <c r="B249" s="18" t="s">
        <v>116</v>
      </c>
      <c r="C249" s="93" t="s">
        <v>115</v>
      </c>
      <c r="D249" s="381" t="s">
        <v>127</v>
      </c>
      <c r="E249" s="93" t="s">
        <v>113</v>
      </c>
      <c r="F249" s="21" t="s">
        <v>137</v>
      </c>
      <c r="G249" s="413" t="s">
        <v>111</v>
      </c>
      <c r="H249" s="20" t="s">
        <v>124</v>
      </c>
      <c r="I249" s="94" t="s">
        <v>194</v>
      </c>
      <c r="J249" s="77" t="s">
        <v>193</v>
      </c>
      <c r="K249" s="285" t="s">
        <v>249</v>
      </c>
      <c r="L249" s="326" t="str">
        <f>L2</f>
        <v>CY'2016</v>
      </c>
      <c r="M249" s="370" t="str">
        <f>M2</f>
        <v>CY'2017</v>
      </c>
      <c r="N249" s="326" t="str">
        <f>N2</f>
        <v>CY'2018</v>
      </c>
    </row>
    <row r="250" spans="1:16" x14ac:dyDescent="0.2">
      <c r="A250" s="141" t="s">
        <v>94</v>
      </c>
      <c r="B250" s="64" t="s">
        <v>164</v>
      </c>
      <c r="C250" s="130" t="s">
        <v>163</v>
      </c>
      <c r="D250" s="304" t="s">
        <v>162</v>
      </c>
      <c r="E250" s="130" t="s">
        <v>161</v>
      </c>
      <c r="F250" s="64" t="s">
        <v>160</v>
      </c>
      <c r="G250" s="130" t="s">
        <v>159</v>
      </c>
      <c r="H250" s="64" t="s">
        <v>205</v>
      </c>
      <c r="I250" s="131" t="s">
        <v>204</v>
      </c>
      <c r="J250" s="126" t="s">
        <v>203</v>
      </c>
      <c r="K250" s="253" t="s">
        <v>255</v>
      </c>
      <c r="L250" s="327" t="s">
        <v>262</v>
      </c>
      <c r="M250" s="253" t="s">
        <v>282</v>
      </c>
      <c r="N250" s="327" t="s">
        <v>290</v>
      </c>
    </row>
    <row r="251" spans="1:16" x14ac:dyDescent="0.2">
      <c r="A251" s="88" t="s">
        <v>61</v>
      </c>
      <c r="B251" s="27"/>
      <c r="C251" s="96"/>
      <c r="D251" s="88"/>
      <c r="E251" s="96"/>
      <c r="F251" s="27"/>
      <c r="G251" s="277"/>
      <c r="H251" s="27"/>
      <c r="I251" s="277"/>
      <c r="J251" s="27"/>
      <c r="K251" s="252"/>
      <c r="L251" s="322"/>
      <c r="M251" s="252"/>
      <c r="N251" s="322"/>
    </row>
    <row r="252" spans="1:16" x14ac:dyDescent="0.2">
      <c r="A252" s="69" t="s">
        <v>264</v>
      </c>
      <c r="B252" s="27"/>
      <c r="C252" s="96"/>
      <c r="D252" s="88"/>
      <c r="E252" s="96"/>
      <c r="F252" s="27"/>
      <c r="G252" s="277"/>
      <c r="H252" s="27"/>
      <c r="I252" s="277"/>
      <c r="J252" s="27"/>
      <c r="K252" s="252"/>
      <c r="L252" s="328">
        <v>0</v>
      </c>
      <c r="M252" s="371">
        <v>0</v>
      </c>
      <c r="N252" s="328"/>
    </row>
    <row r="253" spans="1:16" x14ac:dyDescent="0.2">
      <c r="A253" s="69" t="s">
        <v>62</v>
      </c>
      <c r="B253" s="32">
        <v>1794310</v>
      </c>
      <c r="C253" s="97">
        <v>2024372</v>
      </c>
      <c r="D253" s="89">
        <v>2486055</v>
      </c>
      <c r="E253" s="97">
        <v>2411197</v>
      </c>
      <c r="F253" s="32">
        <v>2157207</v>
      </c>
      <c r="G253" s="98">
        <v>2270925</v>
      </c>
      <c r="H253" s="32">
        <v>3686434</v>
      </c>
      <c r="I253" s="98">
        <v>3704068</v>
      </c>
      <c r="J253" s="32">
        <v>3907986</v>
      </c>
      <c r="K253" s="254">
        <v>3892491</v>
      </c>
      <c r="L253" s="329">
        <v>5594101</v>
      </c>
      <c r="M253" s="372">
        <v>3705889</v>
      </c>
      <c r="N253" s="329"/>
    </row>
    <row r="254" spans="1:16" x14ac:dyDescent="0.2">
      <c r="A254" s="69" t="s">
        <v>63</v>
      </c>
      <c r="B254" s="32">
        <v>1900029</v>
      </c>
      <c r="C254" s="97">
        <v>1582876</v>
      </c>
      <c r="D254" s="89">
        <v>2409843</v>
      </c>
      <c r="E254" s="97">
        <v>1156958</v>
      </c>
      <c r="F254" s="32">
        <v>1044446</v>
      </c>
      <c r="G254" s="98">
        <v>1213323</v>
      </c>
      <c r="H254" s="32">
        <v>1524262</v>
      </c>
      <c r="I254" s="98">
        <v>2234232</v>
      </c>
      <c r="J254" s="32">
        <v>1893371</v>
      </c>
      <c r="K254" s="254">
        <v>1693208</v>
      </c>
      <c r="L254" s="329">
        <v>1624685</v>
      </c>
      <c r="M254" s="372">
        <v>2014947</v>
      </c>
      <c r="N254" s="329"/>
    </row>
    <row r="255" spans="1:16" x14ac:dyDescent="0.2">
      <c r="A255" s="69" t="s">
        <v>64</v>
      </c>
      <c r="B255" s="32">
        <v>0</v>
      </c>
      <c r="C255" s="97">
        <v>0</v>
      </c>
      <c r="D255" s="89">
        <v>0</v>
      </c>
      <c r="E255" s="97">
        <v>1622237</v>
      </c>
      <c r="F255" s="32">
        <v>1554110</v>
      </c>
      <c r="G255" s="98">
        <v>1733185</v>
      </c>
      <c r="H255" s="32">
        <v>1789387</v>
      </c>
      <c r="I255" s="98">
        <v>2880415</v>
      </c>
      <c r="J255" s="32">
        <v>3319301</v>
      </c>
      <c r="K255" s="254">
        <v>3714872</v>
      </c>
      <c r="L255" s="329">
        <v>3809743</v>
      </c>
      <c r="M255" s="372">
        <v>3046053</v>
      </c>
      <c r="N255" s="329"/>
    </row>
    <row r="256" spans="1:16" x14ac:dyDescent="0.2">
      <c r="A256" s="69" t="s">
        <v>65</v>
      </c>
      <c r="B256" s="35">
        <f>SUM(B253:B255)</f>
        <v>3694339</v>
      </c>
      <c r="C256" s="97">
        <f t="shared" ref="C256:J256" si="115">SUM(C253:C255)</f>
        <v>3607248</v>
      </c>
      <c r="D256" s="306">
        <f t="shared" si="115"/>
        <v>4895898</v>
      </c>
      <c r="E256" s="97">
        <f t="shared" si="115"/>
        <v>5190392</v>
      </c>
      <c r="F256" s="35">
        <f t="shared" si="115"/>
        <v>4755763</v>
      </c>
      <c r="G256" s="99">
        <f t="shared" si="115"/>
        <v>5217433</v>
      </c>
      <c r="H256" s="39">
        <f t="shared" si="115"/>
        <v>7000083</v>
      </c>
      <c r="I256" s="99">
        <f t="shared" si="115"/>
        <v>8818715</v>
      </c>
      <c r="J256" s="36">
        <f t="shared" si="115"/>
        <v>9120658</v>
      </c>
      <c r="K256" s="254">
        <f>SUM(K253:K255)</f>
        <v>9300571</v>
      </c>
      <c r="L256" s="330">
        <f>SUM(L252:L255)</f>
        <v>11028529</v>
      </c>
      <c r="M256" s="254">
        <f>SUM(M252:M255)</f>
        <v>8766889</v>
      </c>
      <c r="N256" s="330">
        <f>SUM(N252:N255)</f>
        <v>0</v>
      </c>
    </row>
    <row r="257" spans="1:14" x14ac:dyDescent="0.2">
      <c r="A257" s="69" t="s">
        <v>66</v>
      </c>
      <c r="B257" s="32">
        <v>-1</v>
      </c>
      <c r="C257" s="97">
        <v>-3681</v>
      </c>
      <c r="D257" s="69">
        <v>763</v>
      </c>
      <c r="E257" s="97">
        <v>20670</v>
      </c>
      <c r="F257" s="32">
        <v>5674</v>
      </c>
      <c r="G257" s="97">
        <v>29575</v>
      </c>
      <c r="H257" s="34">
        <v>5453</v>
      </c>
      <c r="I257" s="100">
        <v>-447</v>
      </c>
      <c r="J257" s="44"/>
      <c r="K257" s="255">
        <v>189112</v>
      </c>
      <c r="L257" s="331">
        <v>-39</v>
      </c>
      <c r="M257" s="255">
        <v>-3056</v>
      </c>
      <c r="N257" s="331"/>
    </row>
    <row r="258" spans="1:14" x14ac:dyDescent="0.2">
      <c r="A258" s="68" t="s">
        <v>67</v>
      </c>
      <c r="B258" s="52">
        <f>SUM(B256:B257)</f>
        <v>3694338</v>
      </c>
      <c r="C258" s="102">
        <f t="shared" ref="C258:I258" si="116">SUM(C256:C257)</f>
        <v>3603567</v>
      </c>
      <c r="D258" s="143">
        <f t="shared" si="116"/>
        <v>4896661</v>
      </c>
      <c r="E258" s="102">
        <f t="shared" si="116"/>
        <v>5211062</v>
      </c>
      <c r="F258" s="36">
        <f t="shared" si="116"/>
        <v>4761437</v>
      </c>
      <c r="G258" s="102">
        <f t="shared" si="116"/>
        <v>5247008</v>
      </c>
      <c r="H258" s="39">
        <f t="shared" si="116"/>
        <v>7005536</v>
      </c>
      <c r="I258" s="99">
        <f t="shared" si="116"/>
        <v>8818268</v>
      </c>
      <c r="J258" s="36">
        <f>SUM(J256:J257)</f>
        <v>9120658</v>
      </c>
      <c r="K258" s="256">
        <f>K257+K256</f>
        <v>9489683</v>
      </c>
      <c r="L258" s="332">
        <f>L257+L256</f>
        <v>11028490</v>
      </c>
      <c r="M258" s="256">
        <f>M257+M256</f>
        <v>8763833</v>
      </c>
      <c r="N258" s="332">
        <f>N257+N256</f>
        <v>0</v>
      </c>
    </row>
    <row r="259" spans="1:14" ht="10.9" customHeight="1" x14ac:dyDescent="0.2">
      <c r="A259" s="132" t="s">
        <v>188</v>
      </c>
      <c r="B259" s="40"/>
      <c r="C259" s="40">
        <f t="shared" ref="C259:N259" si="117">(C258-B258)/B258</f>
        <v>-2.4570301905239855E-2</v>
      </c>
      <c r="D259" s="132">
        <f t="shared" si="117"/>
        <v>0.35883722988916261</v>
      </c>
      <c r="E259" s="40">
        <f t="shared" si="117"/>
        <v>6.4207222023333857E-2</v>
      </c>
      <c r="F259" s="40">
        <f t="shared" si="117"/>
        <v>-8.6282796097993081E-2</v>
      </c>
      <c r="G259" s="40">
        <f t="shared" si="117"/>
        <v>0.10197992748827717</v>
      </c>
      <c r="H259" s="40">
        <f t="shared" si="117"/>
        <v>0.33514871713555611</v>
      </c>
      <c r="I259" s="40">
        <f t="shared" si="117"/>
        <v>0.25875707440515616</v>
      </c>
      <c r="J259" s="40">
        <f t="shared" si="117"/>
        <v>3.4291314348804093E-2</v>
      </c>
      <c r="K259" s="224">
        <f t="shared" si="117"/>
        <v>4.0460348365216635E-2</v>
      </c>
      <c r="L259" s="224">
        <f t="shared" si="117"/>
        <v>0.16215578539346362</v>
      </c>
      <c r="M259" s="224">
        <f t="shared" si="117"/>
        <v>-0.20534606278828743</v>
      </c>
      <c r="N259" s="224">
        <f t="shared" si="117"/>
        <v>-1</v>
      </c>
    </row>
    <row r="260" spans="1:14" x14ac:dyDescent="0.2">
      <c r="A260" s="88" t="s">
        <v>68</v>
      </c>
      <c r="B260" s="41"/>
      <c r="C260" s="96"/>
      <c r="D260" s="88"/>
      <c r="E260" s="96"/>
      <c r="F260" s="27"/>
      <c r="G260" s="96"/>
      <c r="H260" s="30"/>
      <c r="I260" s="277"/>
      <c r="J260" s="27"/>
      <c r="K260" s="257"/>
      <c r="L260" s="333"/>
      <c r="M260" s="257"/>
      <c r="N260" s="333"/>
    </row>
    <row r="261" spans="1:14" x14ac:dyDescent="0.2">
      <c r="A261" s="69" t="s">
        <v>69</v>
      </c>
      <c r="B261" s="32">
        <v>0</v>
      </c>
      <c r="C261" s="97">
        <v>0</v>
      </c>
      <c r="D261" s="69">
        <v>0</v>
      </c>
      <c r="E261" s="97">
        <v>0</v>
      </c>
      <c r="F261" s="44">
        <v>0</v>
      </c>
      <c r="G261" s="414">
        <v>0</v>
      </c>
      <c r="H261" s="32">
        <v>0</v>
      </c>
      <c r="I261" s="98">
        <v>0</v>
      </c>
      <c r="J261" s="44">
        <v>195</v>
      </c>
      <c r="K261" s="252">
        <v>0</v>
      </c>
      <c r="L261" s="322">
        <v>0</v>
      </c>
      <c r="M261" s="252">
        <v>0</v>
      </c>
      <c r="N261" s="322">
        <v>0</v>
      </c>
    </row>
    <row r="262" spans="1:14" x14ac:dyDescent="0.2">
      <c r="A262" s="69" t="s">
        <v>70</v>
      </c>
      <c r="B262" s="32">
        <v>0</v>
      </c>
      <c r="C262" s="97">
        <v>0</v>
      </c>
      <c r="D262" s="69">
        <v>0</v>
      </c>
      <c r="E262" s="97">
        <v>0</v>
      </c>
      <c r="F262" s="44">
        <v>0</v>
      </c>
      <c r="G262" s="414">
        <v>0</v>
      </c>
      <c r="H262" s="32">
        <v>0</v>
      </c>
      <c r="I262" s="98">
        <v>0</v>
      </c>
      <c r="J262" s="44">
        <v>0</v>
      </c>
      <c r="K262" s="252">
        <v>0</v>
      </c>
      <c r="L262" s="322">
        <v>0</v>
      </c>
      <c r="M262" s="252">
        <v>0</v>
      </c>
      <c r="N262" s="322">
        <v>0</v>
      </c>
    </row>
    <row r="263" spans="1:14" x14ac:dyDescent="0.2">
      <c r="A263" s="69" t="s">
        <v>71</v>
      </c>
      <c r="B263" s="32">
        <v>0</v>
      </c>
      <c r="C263" s="97">
        <v>0</v>
      </c>
      <c r="D263" s="69">
        <v>0</v>
      </c>
      <c r="E263" s="97">
        <v>0</v>
      </c>
      <c r="F263" s="44">
        <v>0</v>
      </c>
      <c r="G263" s="414">
        <v>0</v>
      </c>
      <c r="H263" s="32">
        <v>0</v>
      </c>
      <c r="I263" s="98">
        <v>0</v>
      </c>
      <c r="J263" s="44">
        <v>754</v>
      </c>
      <c r="K263" s="252">
        <v>876</v>
      </c>
      <c r="L263" s="322">
        <v>0</v>
      </c>
      <c r="M263" s="252">
        <v>0</v>
      </c>
      <c r="N263" s="322">
        <v>0</v>
      </c>
    </row>
    <row r="264" spans="1:14" x14ac:dyDescent="0.2">
      <c r="A264" s="69" t="s">
        <v>72</v>
      </c>
      <c r="B264" s="32">
        <v>0</v>
      </c>
      <c r="C264" s="97">
        <v>0</v>
      </c>
      <c r="D264" s="69">
        <v>0</v>
      </c>
      <c r="E264" s="97">
        <v>0</v>
      </c>
      <c r="F264" s="44">
        <v>0</v>
      </c>
      <c r="G264" s="414">
        <v>0</v>
      </c>
      <c r="H264" s="32">
        <v>0</v>
      </c>
      <c r="I264" s="98">
        <v>0</v>
      </c>
      <c r="J264" s="44">
        <v>0</v>
      </c>
      <c r="K264" s="252">
        <v>0</v>
      </c>
      <c r="L264" s="322">
        <v>0</v>
      </c>
      <c r="M264" s="252">
        <v>0</v>
      </c>
      <c r="N264" s="322">
        <v>0</v>
      </c>
    </row>
    <row r="265" spans="1:14" x14ac:dyDescent="0.2">
      <c r="A265" s="69" t="s">
        <v>73</v>
      </c>
      <c r="B265" s="32">
        <v>0</v>
      </c>
      <c r="C265" s="97">
        <v>0</v>
      </c>
      <c r="D265" s="69">
        <v>0</v>
      </c>
      <c r="E265" s="97">
        <v>0</v>
      </c>
      <c r="F265" s="44">
        <v>0</v>
      </c>
      <c r="G265" s="414">
        <v>0</v>
      </c>
      <c r="H265" s="32">
        <v>0</v>
      </c>
      <c r="I265" s="98">
        <v>0</v>
      </c>
      <c r="J265" s="44">
        <v>0</v>
      </c>
      <c r="K265" s="252">
        <v>0</v>
      </c>
      <c r="L265" s="322">
        <v>0</v>
      </c>
      <c r="M265" s="252">
        <v>0</v>
      </c>
      <c r="N265" s="322">
        <v>0</v>
      </c>
    </row>
    <row r="266" spans="1:14" x14ac:dyDescent="0.2">
      <c r="A266" s="69" t="s">
        <v>74</v>
      </c>
      <c r="B266" s="32">
        <v>0</v>
      </c>
      <c r="C266" s="97">
        <v>0</v>
      </c>
      <c r="D266" s="69">
        <v>0</v>
      </c>
      <c r="E266" s="97">
        <v>0</v>
      </c>
      <c r="F266" s="44">
        <v>0</v>
      </c>
      <c r="G266" s="414">
        <v>0</v>
      </c>
      <c r="H266" s="32">
        <v>0</v>
      </c>
      <c r="I266" s="98">
        <v>0</v>
      </c>
      <c r="J266" s="44">
        <v>0</v>
      </c>
      <c r="K266" s="252">
        <v>0</v>
      </c>
      <c r="L266" s="322">
        <v>0</v>
      </c>
      <c r="M266" s="252">
        <v>0</v>
      </c>
      <c r="N266" s="322">
        <v>0</v>
      </c>
    </row>
    <row r="267" spans="1:14" x14ac:dyDescent="0.2">
      <c r="A267" s="72" t="s">
        <v>75</v>
      </c>
      <c r="B267" s="32">
        <f>SUM(B261:B266)</f>
        <v>0</v>
      </c>
      <c r="C267" s="97">
        <f>SUM(C261:C266)</f>
        <v>0</v>
      </c>
      <c r="D267" s="89">
        <f>SUM(D261:D266)</f>
        <v>0</v>
      </c>
      <c r="E267" s="97">
        <v>0</v>
      </c>
      <c r="F267" s="35">
        <v>0</v>
      </c>
      <c r="G267" s="97">
        <v>0</v>
      </c>
      <c r="H267" s="32">
        <v>0</v>
      </c>
      <c r="I267" s="99">
        <v>0</v>
      </c>
      <c r="J267" s="60">
        <f>SUM(J261:J266)</f>
        <v>949</v>
      </c>
      <c r="K267" s="252">
        <f>SUM(K261:K266)</f>
        <v>876</v>
      </c>
      <c r="L267" s="322">
        <f>SUM(L261:L266)</f>
        <v>0</v>
      </c>
      <c r="M267" s="252">
        <f>SUM(M261:M266)</f>
        <v>0</v>
      </c>
      <c r="N267" s="322">
        <f>SUM(N261:N266)</f>
        <v>0</v>
      </c>
    </row>
    <row r="268" spans="1:14" ht="10.9" customHeight="1" x14ac:dyDescent="0.2">
      <c r="A268" s="132" t="s">
        <v>188</v>
      </c>
      <c r="B268" s="40"/>
      <c r="C268" s="40">
        <v>0</v>
      </c>
      <c r="D268" s="132">
        <v>0</v>
      </c>
      <c r="E268" s="40">
        <v>0</v>
      </c>
      <c r="F268" s="40">
        <v>0</v>
      </c>
      <c r="G268" s="40">
        <v>0</v>
      </c>
      <c r="H268" s="40">
        <v>0</v>
      </c>
      <c r="I268" s="40">
        <v>0</v>
      </c>
      <c r="J268" s="40">
        <v>0</v>
      </c>
      <c r="K268" s="224">
        <f>(K267-J267)/J267</f>
        <v>-7.6923076923076927E-2</v>
      </c>
      <c r="L268" s="224">
        <f>(L267-K267)/K267</f>
        <v>-1</v>
      </c>
      <c r="M268" s="224" t="e">
        <f>(M267-L267)/L267</f>
        <v>#DIV/0!</v>
      </c>
      <c r="N268" s="224" t="e">
        <f>(N267-M267)/M267</f>
        <v>#DIV/0!</v>
      </c>
    </row>
    <row r="269" spans="1:14" ht="10.9" customHeight="1" x14ac:dyDescent="0.2">
      <c r="A269" s="69" t="s">
        <v>76</v>
      </c>
      <c r="B269" s="217"/>
      <c r="C269" s="278"/>
      <c r="D269" s="392"/>
      <c r="E269" s="278"/>
      <c r="F269" s="217"/>
      <c r="G269" s="278"/>
      <c r="H269" s="217"/>
      <c r="I269" s="278"/>
      <c r="J269" s="233">
        <v>71297</v>
      </c>
      <c r="K269" s="258">
        <v>28511</v>
      </c>
      <c r="L269" s="234">
        <v>19898</v>
      </c>
      <c r="M269" s="262">
        <v>23743</v>
      </c>
      <c r="N269" s="234"/>
    </row>
    <row r="270" spans="1:14" x14ac:dyDescent="0.2">
      <c r="A270" s="68" t="s">
        <v>77</v>
      </c>
      <c r="B270" s="52">
        <f>SUM(B267,B269)</f>
        <v>0</v>
      </c>
      <c r="C270" s="99">
        <f t="shared" ref="C270:J270" si="118">SUM(C267,C269)</f>
        <v>0</v>
      </c>
      <c r="D270" s="143">
        <f t="shared" si="118"/>
        <v>0</v>
      </c>
      <c r="E270" s="99">
        <f t="shared" si="118"/>
        <v>0</v>
      </c>
      <c r="F270" s="52">
        <f t="shared" si="118"/>
        <v>0</v>
      </c>
      <c r="G270" s="99">
        <f t="shared" si="118"/>
        <v>0</v>
      </c>
      <c r="H270" s="52">
        <f t="shared" si="118"/>
        <v>0</v>
      </c>
      <c r="I270" s="99">
        <f t="shared" si="118"/>
        <v>0</v>
      </c>
      <c r="J270" s="52">
        <f t="shared" si="118"/>
        <v>72246</v>
      </c>
      <c r="K270" s="99">
        <f>SUM(K267,K269)</f>
        <v>29387</v>
      </c>
      <c r="L270" s="36">
        <f t="shared" ref="L270:N270" si="119">SUM(L267,L269)</f>
        <v>19898</v>
      </c>
      <c r="M270" s="99">
        <f t="shared" si="119"/>
        <v>23743</v>
      </c>
      <c r="N270" s="36">
        <f t="shared" si="119"/>
        <v>0</v>
      </c>
    </row>
    <row r="271" spans="1:14" ht="10.9" customHeight="1" x14ac:dyDescent="0.2">
      <c r="A271" s="132" t="s">
        <v>188</v>
      </c>
      <c r="B271" s="40"/>
      <c r="C271" s="40">
        <v>0</v>
      </c>
      <c r="D271" s="132">
        <v>0</v>
      </c>
      <c r="E271" s="40">
        <v>0</v>
      </c>
      <c r="F271" s="40">
        <v>0</v>
      </c>
      <c r="G271" s="40">
        <v>0</v>
      </c>
      <c r="H271" s="40">
        <v>0</v>
      </c>
      <c r="I271" s="40">
        <v>0</v>
      </c>
      <c r="J271" s="40">
        <v>0</v>
      </c>
      <c r="K271" s="224">
        <f>(K270-J270)/J270</f>
        <v>-0.5932369958198378</v>
      </c>
      <c r="L271" s="224">
        <f>(L270-K270)/K270</f>
        <v>-0.3228978800149726</v>
      </c>
      <c r="M271" s="224">
        <f>(M270-L270)/L270</f>
        <v>0.19323550105538245</v>
      </c>
      <c r="N271" s="224">
        <f>(N270-M270)/M270</f>
        <v>-1</v>
      </c>
    </row>
    <row r="272" spans="1:14" x14ac:dyDescent="0.2">
      <c r="A272" s="69" t="s">
        <v>55</v>
      </c>
      <c r="B272" s="32">
        <v>13657</v>
      </c>
      <c r="C272" s="97">
        <v>2626</v>
      </c>
      <c r="D272" s="69">
        <v>77</v>
      </c>
      <c r="E272" s="97">
        <v>2881</v>
      </c>
      <c r="F272" s="35">
        <v>71649</v>
      </c>
      <c r="G272" s="414">
        <v>614</v>
      </c>
      <c r="H272" s="289">
        <v>-11136</v>
      </c>
      <c r="I272" s="98">
        <v>32897</v>
      </c>
      <c r="J272" s="159">
        <v>-3223</v>
      </c>
      <c r="K272" s="263">
        <v>-18729</v>
      </c>
      <c r="L272" s="233">
        <v>-20066</v>
      </c>
      <c r="M272" s="263">
        <v>-38677</v>
      </c>
      <c r="N272" s="233"/>
    </row>
    <row r="273" spans="1:14" x14ac:dyDescent="0.2">
      <c r="A273" s="88" t="s">
        <v>78</v>
      </c>
      <c r="B273" s="41"/>
      <c r="C273" s="95"/>
      <c r="D273" s="88"/>
      <c r="E273" s="95"/>
      <c r="F273" s="103"/>
      <c r="G273" s="96"/>
      <c r="H273" s="30"/>
      <c r="I273" s="104"/>
      <c r="J273" s="27"/>
      <c r="K273" s="257"/>
      <c r="L273" s="333"/>
      <c r="M273" s="257"/>
      <c r="N273" s="333"/>
    </row>
    <row r="274" spans="1:14" x14ac:dyDescent="0.2">
      <c r="A274" s="69" t="s">
        <v>355</v>
      </c>
      <c r="B274" s="32">
        <v>0</v>
      </c>
      <c r="C274" s="97">
        <v>0</v>
      </c>
      <c r="D274" s="69">
        <v>0</v>
      </c>
      <c r="E274" s="97">
        <v>0</v>
      </c>
      <c r="F274" s="35">
        <v>0</v>
      </c>
      <c r="G274" s="97">
        <v>0</v>
      </c>
      <c r="H274" s="34">
        <v>0</v>
      </c>
      <c r="I274" s="98">
        <v>0</v>
      </c>
      <c r="J274" s="44">
        <v>0</v>
      </c>
      <c r="K274" s="255">
        <v>0</v>
      </c>
      <c r="L274" s="331">
        <v>0</v>
      </c>
      <c r="M274" s="255">
        <v>0</v>
      </c>
      <c r="N274" s="331"/>
    </row>
    <row r="275" spans="1:14" x14ac:dyDescent="0.2">
      <c r="A275" s="69" t="s">
        <v>357</v>
      </c>
      <c r="B275" s="32">
        <v>551335</v>
      </c>
      <c r="C275" s="97">
        <v>450453</v>
      </c>
      <c r="D275" s="69">
        <v>364705</v>
      </c>
      <c r="E275" s="97">
        <v>361906</v>
      </c>
      <c r="F275" s="35">
        <v>437729</v>
      </c>
      <c r="G275" s="97">
        <v>409204</v>
      </c>
      <c r="H275" s="34">
        <v>643916</v>
      </c>
      <c r="I275" s="98">
        <v>641938</v>
      </c>
      <c r="J275" s="32">
        <v>802928</v>
      </c>
      <c r="K275" s="255">
        <v>704584</v>
      </c>
      <c r="L275" s="331">
        <v>638715</v>
      </c>
      <c r="M275" s="255">
        <v>637196</v>
      </c>
      <c r="N275" s="331"/>
    </row>
    <row r="276" spans="1:14" x14ac:dyDescent="0.2">
      <c r="A276" s="69" t="s">
        <v>358</v>
      </c>
      <c r="B276" s="32">
        <v>35929</v>
      </c>
      <c r="C276" s="97">
        <v>45181</v>
      </c>
      <c r="D276" s="69">
        <v>56747</v>
      </c>
      <c r="E276" s="97">
        <v>43823</v>
      </c>
      <c r="F276" s="35">
        <v>96161</v>
      </c>
      <c r="G276" s="97">
        <v>44234</v>
      </c>
      <c r="H276" s="34">
        <v>101317</v>
      </c>
      <c r="I276" s="98">
        <v>70842</v>
      </c>
      <c r="J276" s="32">
        <f>24521+55968</f>
        <v>80489</v>
      </c>
      <c r="K276" s="255">
        <v>68285</v>
      </c>
      <c r="L276" s="331">
        <f>21311+87669</f>
        <v>108980</v>
      </c>
      <c r="M276" s="255">
        <v>313574</v>
      </c>
      <c r="N276" s="331"/>
    </row>
    <row r="277" spans="1:14" x14ac:dyDescent="0.2">
      <c r="A277" s="69" t="s">
        <v>79</v>
      </c>
      <c r="B277" s="32">
        <v>0</v>
      </c>
      <c r="C277" s="97">
        <v>3813</v>
      </c>
      <c r="D277" s="69">
        <v>3373</v>
      </c>
      <c r="E277" s="97">
        <v>2729</v>
      </c>
      <c r="F277" s="35">
        <v>2839</v>
      </c>
      <c r="G277" s="97">
        <v>2625</v>
      </c>
      <c r="H277" s="34">
        <v>5197</v>
      </c>
      <c r="I277" s="98">
        <v>116931</v>
      </c>
      <c r="J277" s="32">
        <v>144573</v>
      </c>
      <c r="K277" s="255">
        <v>11858</v>
      </c>
      <c r="L277" s="331">
        <v>46945</v>
      </c>
      <c r="M277" s="255">
        <v>4760</v>
      </c>
      <c r="N277" s="331"/>
    </row>
    <row r="278" spans="1:14" x14ac:dyDescent="0.2">
      <c r="A278" s="68" t="s">
        <v>80</v>
      </c>
      <c r="B278" s="70">
        <f>SUM(B274:B277)</f>
        <v>587264</v>
      </c>
      <c r="C278" s="101">
        <f t="shared" ref="C278:H278" si="120">SUM(C274:C277)</f>
        <v>499447</v>
      </c>
      <c r="D278" s="308">
        <f t="shared" si="120"/>
        <v>424825</v>
      </c>
      <c r="E278" s="106">
        <f t="shared" si="120"/>
        <v>408458</v>
      </c>
      <c r="F278" s="70">
        <f t="shared" si="120"/>
        <v>536729</v>
      </c>
      <c r="G278" s="101">
        <f t="shared" si="120"/>
        <v>456063</v>
      </c>
      <c r="H278" s="105">
        <f t="shared" si="120"/>
        <v>750430</v>
      </c>
      <c r="I278" s="106">
        <f t="shared" ref="I278:N278" si="121">SUM(I274:I277)</f>
        <v>829711</v>
      </c>
      <c r="J278" s="70">
        <f t="shared" si="121"/>
        <v>1027990</v>
      </c>
      <c r="K278" s="259">
        <f t="shared" si="121"/>
        <v>784727</v>
      </c>
      <c r="L278" s="249">
        <f t="shared" si="121"/>
        <v>794640</v>
      </c>
      <c r="M278" s="259">
        <f t="shared" si="121"/>
        <v>955530</v>
      </c>
      <c r="N278" s="249">
        <f t="shared" si="121"/>
        <v>0</v>
      </c>
    </row>
    <row r="279" spans="1:14" ht="10.9" customHeight="1" x14ac:dyDescent="0.2">
      <c r="A279" s="132" t="s">
        <v>188</v>
      </c>
      <c r="B279" s="40"/>
      <c r="C279" s="40">
        <f t="shared" ref="C279:N279" si="122">(C278-B278)/B278</f>
        <v>-0.14953581353530951</v>
      </c>
      <c r="D279" s="132">
        <f t="shared" si="122"/>
        <v>-0.14940924662676922</v>
      </c>
      <c r="E279" s="40">
        <f t="shared" si="122"/>
        <v>-3.8526452068498793E-2</v>
      </c>
      <c r="F279" s="40">
        <f t="shared" si="122"/>
        <v>0.31403718374961442</v>
      </c>
      <c r="G279" s="40">
        <f t="shared" si="122"/>
        <v>-0.1502918605106115</v>
      </c>
      <c r="H279" s="40">
        <f t="shared" si="122"/>
        <v>0.64545249230917656</v>
      </c>
      <c r="I279" s="40">
        <f t="shared" si="122"/>
        <v>0.10564742880748371</v>
      </c>
      <c r="J279" s="40">
        <f t="shared" si="122"/>
        <v>0.23897357031544719</v>
      </c>
      <c r="K279" s="224">
        <f t="shared" si="122"/>
        <v>-0.23663946147336062</v>
      </c>
      <c r="L279" s="224">
        <f t="shared" si="122"/>
        <v>1.2632418662796106E-2</v>
      </c>
      <c r="M279" s="224">
        <f t="shared" si="122"/>
        <v>0.20246904258532167</v>
      </c>
      <c r="N279" s="224">
        <f t="shared" si="122"/>
        <v>-1</v>
      </c>
    </row>
    <row r="280" spans="1:14" x14ac:dyDescent="0.2">
      <c r="A280" s="69" t="s">
        <v>81</v>
      </c>
      <c r="B280" s="32">
        <v>0</v>
      </c>
      <c r="C280" s="97">
        <v>0</v>
      </c>
      <c r="D280" s="388">
        <v>0</v>
      </c>
      <c r="E280" s="97">
        <v>0</v>
      </c>
      <c r="F280" s="35">
        <v>0</v>
      </c>
      <c r="G280" s="97">
        <v>0</v>
      </c>
      <c r="H280" s="34">
        <v>0</v>
      </c>
      <c r="I280" s="98">
        <v>0</v>
      </c>
      <c r="J280" s="44">
        <v>0</v>
      </c>
      <c r="K280" s="255">
        <v>0</v>
      </c>
      <c r="L280" s="331">
        <v>0</v>
      </c>
      <c r="M280" s="255">
        <v>0</v>
      </c>
      <c r="N280" s="331"/>
    </row>
    <row r="281" spans="1:14" x14ac:dyDescent="0.2">
      <c r="A281" s="69" t="s">
        <v>82</v>
      </c>
      <c r="B281" s="32">
        <v>133177</v>
      </c>
      <c r="C281" s="97">
        <v>141206</v>
      </c>
      <c r="D281" s="388">
        <v>129368</v>
      </c>
      <c r="E281" s="97">
        <v>130254</v>
      </c>
      <c r="F281" s="35">
        <v>142920</v>
      </c>
      <c r="G281" s="97">
        <v>146046</v>
      </c>
      <c r="H281" s="34">
        <v>343498</v>
      </c>
      <c r="I281" s="98">
        <v>366624</v>
      </c>
      <c r="J281" s="32">
        <v>216372</v>
      </c>
      <c r="K281" s="255">
        <v>303276</v>
      </c>
      <c r="L281" s="331">
        <v>349630</v>
      </c>
      <c r="M281" s="255">
        <v>259543</v>
      </c>
      <c r="N281" s="331"/>
    </row>
    <row r="282" spans="1:14" x14ac:dyDescent="0.2">
      <c r="A282" s="69" t="s">
        <v>367</v>
      </c>
      <c r="B282" s="32"/>
      <c r="C282" s="97"/>
      <c r="D282" s="388"/>
      <c r="E282" s="97">
        <v>17302</v>
      </c>
      <c r="F282" s="35">
        <v>38952</v>
      </c>
      <c r="G282" s="97">
        <v>44376</v>
      </c>
      <c r="H282" s="34">
        <v>75966</v>
      </c>
      <c r="I282" s="98">
        <v>91672</v>
      </c>
      <c r="J282" s="32">
        <v>103418</v>
      </c>
      <c r="K282" s="255">
        <v>118622</v>
      </c>
      <c r="L282" s="331">
        <v>79923</v>
      </c>
      <c r="M282" s="255">
        <v>137126</v>
      </c>
      <c r="N282" s="331"/>
    </row>
    <row r="283" spans="1:14" x14ac:dyDescent="0.2">
      <c r="A283" s="68" t="s">
        <v>83</v>
      </c>
      <c r="B283" s="52">
        <f>SUM(B280:B281)</f>
        <v>133177</v>
      </c>
      <c r="C283" s="102">
        <f t="shared" ref="C283:D283" si="123">SUM(C280:C281)</f>
        <v>141206</v>
      </c>
      <c r="D283" s="307">
        <f t="shared" si="123"/>
        <v>129368</v>
      </c>
      <c r="E283" s="102">
        <f t="shared" ref="E283:M283" si="124">SUM(E280:E282)</f>
        <v>147556</v>
      </c>
      <c r="F283" s="36">
        <f t="shared" si="124"/>
        <v>181872</v>
      </c>
      <c r="G283" s="102">
        <f t="shared" si="124"/>
        <v>190422</v>
      </c>
      <c r="H283" s="39">
        <f t="shared" si="124"/>
        <v>419464</v>
      </c>
      <c r="I283" s="99">
        <f t="shared" si="124"/>
        <v>458296</v>
      </c>
      <c r="J283" s="36">
        <f t="shared" si="124"/>
        <v>319790</v>
      </c>
      <c r="K283" s="259">
        <f t="shared" si="124"/>
        <v>421898</v>
      </c>
      <c r="L283" s="249">
        <f t="shared" si="124"/>
        <v>429553</v>
      </c>
      <c r="M283" s="259">
        <f t="shared" si="124"/>
        <v>396669</v>
      </c>
      <c r="N283" s="249">
        <f>N281+N280</f>
        <v>0</v>
      </c>
    </row>
    <row r="284" spans="1:14" ht="10.9" customHeight="1" x14ac:dyDescent="0.2">
      <c r="A284" s="132" t="s">
        <v>188</v>
      </c>
      <c r="B284" s="40"/>
      <c r="C284" s="40">
        <f t="shared" ref="C284:J284" si="125">(C283-B283)/B283</f>
        <v>6.0288187900313116E-2</v>
      </c>
      <c r="D284" s="132">
        <f t="shared" si="125"/>
        <v>-8.3834964519921243E-2</v>
      </c>
      <c r="E284" s="40">
        <f t="shared" si="125"/>
        <v>0.14059118174509924</v>
      </c>
      <c r="F284" s="40">
        <f t="shared" si="125"/>
        <v>0.23256255252243216</v>
      </c>
      <c r="G284" s="40">
        <f t="shared" si="125"/>
        <v>4.70110847189232E-2</v>
      </c>
      <c r="H284" s="40">
        <f t="shared" si="125"/>
        <v>1.2028127002132107</v>
      </c>
      <c r="I284" s="40">
        <f t="shared" si="125"/>
        <v>9.2575286556176459E-2</v>
      </c>
      <c r="J284" s="40">
        <f t="shared" si="125"/>
        <v>-0.30221952624504689</v>
      </c>
      <c r="K284" s="224">
        <f>(K283-J283)/J283</f>
        <v>0.31929703868163484</v>
      </c>
      <c r="L284" s="224">
        <f>(L283-K283)/K283</f>
        <v>1.8144195990500073E-2</v>
      </c>
      <c r="M284" s="224">
        <f>(M283-L283)/L283</f>
        <v>-7.6553999157263478E-2</v>
      </c>
      <c r="N284" s="224">
        <f>(N283-M283)/M283</f>
        <v>-1</v>
      </c>
    </row>
    <row r="285" spans="1:14" x14ac:dyDescent="0.2">
      <c r="A285" s="68" t="s">
        <v>26</v>
      </c>
      <c r="B285" s="52">
        <f>SUM(B283,B278)</f>
        <v>720441</v>
      </c>
      <c r="C285" s="102">
        <f t="shared" ref="C285:I285" si="126">SUM(C283,C278)</f>
        <v>640653</v>
      </c>
      <c r="D285" s="307">
        <f t="shared" si="126"/>
        <v>554193</v>
      </c>
      <c r="E285" s="102">
        <f t="shared" si="126"/>
        <v>556014</v>
      </c>
      <c r="F285" s="36">
        <f t="shared" si="126"/>
        <v>718601</v>
      </c>
      <c r="G285" s="102">
        <f t="shared" si="126"/>
        <v>646485</v>
      </c>
      <c r="H285" s="39">
        <f t="shared" si="126"/>
        <v>1169894</v>
      </c>
      <c r="I285" s="99">
        <f t="shared" si="126"/>
        <v>1288007</v>
      </c>
      <c r="J285" s="52">
        <f>J283+J278</f>
        <v>1347780</v>
      </c>
      <c r="K285" s="259">
        <f>K283+K278</f>
        <v>1206625</v>
      </c>
      <c r="L285" s="249">
        <f>L283+L278</f>
        <v>1224193</v>
      </c>
      <c r="M285" s="259">
        <f>M283+M278</f>
        <v>1352199</v>
      </c>
      <c r="N285" s="249">
        <f>N283+N278</f>
        <v>0</v>
      </c>
    </row>
    <row r="286" spans="1:14" x14ac:dyDescent="0.2">
      <c r="A286" s="69" t="s">
        <v>57</v>
      </c>
      <c r="B286" s="32">
        <v>7294</v>
      </c>
      <c r="C286" s="97">
        <v>11987</v>
      </c>
      <c r="D286" s="306">
        <v>-1783</v>
      </c>
      <c r="E286" s="97">
        <v>46723</v>
      </c>
      <c r="F286" s="35">
        <v>33100</v>
      </c>
      <c r="G286" s="97">
        <v>34427</v>
      </c>
      <c r="H286" s="34">
        <v>33405</v>
      </c>
      <c r="I286" s="98">
        <v>54374</v>
      </c>
      <c r="J286" s="32">
        <v>170803</v>
      </c>
      <c r="K286" s="263">
        <v>-11702</v>
      </c>
      <c r="L286" s="331">
        <v>58748</v>
      </c>
      <c r="M286" s="255">
        <v>511807</v>
      </c>
      <c r="N286" s="331"/>
    </row>
    <row r="287" spans="1:14" x14ac:dyDescent="0.2">
      <c r="A287" s="68" t="s">
        <v>84</v>
      </c>
      <c r="B287" s="52">
        <f t="shared" ref="B287:I287" si="127">SUM(B285:B286)</f>
        <v>727735</v>
      </c>
      <c r="C287" s="102">
        <f t="shared" si="127"/>
        <v>652640</v>
      </c>
      <c r="D287" s="307">
        <f t="shared" si="127"/>
        <v>552410</v>
      </c>
      <c r="E287" s="102">
        <f t="shared" si="127"/>
        <v>602737</v>
      </c>
      <c r="F287" s="36">
        <f t="shared" si="127"/>
        <v>751701</v>
      </c>
      <c r="G287" s="102">
        <f t="shared" si="127"/>
        <v>680912</v>
      </c>
      <c r="H287" s="39">
        <f t="shared" si="127"/>
        <v>1203299</v>
      </c>
      <c r="I287" s="99">
        <f t="shared" si="127"/>
        <v>1342381</v>
      </c>
      <c r="J287" s="52">
        <f>J286+J285</f>
        <v>1518583</v>
      </c>
      <c r="K287" s="259">
        <f>K286+K285</f>
        <v>1194923</v>
      </c>
      <c r="L287" s="249">
        <f>L286+L285</f>
        <v>1282941</v>
      </c>
      <c r="M287" s="259">
        <f>M286+M285</f>
        <v>1864006</v>
      </c>
      <c r="N287" s="249">
        <f>N286+N285</f>
        <v>0</v>
      </c>
    </row>
    <row r="288" spans="1:14" ht="10.9" customHeight="1" x14ac:dyDescent="0.2">
      <c r="A288" s="132" t="s">
        <v>188</v>
      </c>
      <c r="B288" s="40"/>
      <c r="C288" s="40">
        <f t="shared" ref="C288:J288" si="128">(C287-B287)/B287</f>
        <v>-0.10319003483410857</v>
      </c>
      <c r="D288" s="132">
        <f t="shared" si="128"/>
        <v>-0.15357624417749449</v>
      </c>
      <c r="E288" s="40">
        <f t="shared" si="128"/>
        <v>9.1104433301352261E-2</v>
      </c>
      <c r="F288" s="40">
        <f t="shared" si="128"/>
        <v>0.24714593595548306</v>
      </c>
      <c r="G288" s="40">
        <f t="shared" si="128"/>
        <v>-9.4171751800250364E-2</v>
      </c>
      <c r="H288" s="40">
        <f t="shared" si="128"/>
        <v>0.76718724299175223</v>
      </c>
      <c r="I288" s="40">
        <f t="shared" si="128"/>
        <v>0.11558390724167476</v>
      </c>
      <c r="J288" s="40">
        <f t="shared" si="128"/>
        <v>0.13126079704644211</v>
      </c>
      <c r="K288" s="224">
        <f>(K287-J287)/J287</f>
        <v>-0.21313290086877043</v>
      </c>
      <c r="L288" s="224">
        <f>(L287-K287)/K287</f>
        <v>7.3659976416890455E-2</v>
      </c>
      <c r="M288" s="224">
        <f>(M287-L287)/L287</f>
        <v>0.45291638508707727</v>
      </c>
      <c r="N288" s="224">
        <f>(N287-M287)/M287</f>
        <v>-1</v>
      </c>
    </row>
    <row r="289" spans="1:14" x14ac:dyDescent="0.2">
      <c r="A289" s="88" t="s">
        <v>85</v>
      </c>
      <c r="B289" s="41"/>
      <c r="C289" s="95"/>
      <c r="D289" s="88"/>
      <c r="E289" s="95"/>
      <c r="F289" s="27"/>
      <c r="G289" s="95"/>
      <c r="H289" s="30"/>
      <c r="I289" s="104"/>
      <c r="J289" s="27"/>
      <c r="K289" s="257"/>
      <c r="L289" s="333"/>
      <c r="M289" s="257"/>
      <c r="N289" s="333"/>
    </row>
    <row r="290" spans="1:14" x14ac:dyDescent="0.2">
      <c r="A290" s="69" t="s">
        <v>264</v>
      </c>
      <c r="B290" s="41"/>
      <c r="C290" s="95"/>
      <c r="D290" s="88"/>
      <c r="E290" s="95"/>
      <c r="F290" s="27"/>
      <c r="G290" s="95"/>
      <c r="H290" s="30"/>
      <c r="I290" s="104"/>
      <c r="J290" s="27"/>
      <c r="K290" s="257"/>
      <c r="L290" s="328">
        <v>0</v>
      </c>
      <c r="M290" s="371">
        <v>0</v>
      </c>
      <c r="N290" s="328"/>
    </row>
    <row r="291" spans="1:14" x14ac:dyDescent="0.2">
      <c r="A291" s="69" t="s">
        <v>62</v>
      </c>
      <c r="B291" s="32">
        <v>1292950</v>
      </c>
      <c r="C291" s="97">
        <v>1425766</v>
      </c>
      <c r="D291" s="89">
        <v>1897270</v>
      </c>
      <c r="E291" s="97">
        <v>1897212</v>
      </c>
      <c r="F291" s="32">
        <v>1497412</v>
      </c>
      <c r="G291" s="97">
        <v>1724262</v>
      </c>
      <c r="H291" s="34">
        <v>2365693</v>
      </c>
      <c r="I291" s="98">
        <v>2564083</v>
      </c>
      <c r="J291" s="32">
        <v>2654030</v>
      </c>
      <c r="K291" s="255">
        <v>2773027</v>
      </c>
      <c r="L291" s="331">
        <v>4175273</v>
      </c>
      <c r="M291" s="255">
        <v>2281453</v>
      </c>
      <c r="N291" s="331"/>
    </row>
    <row r="292" spans="1:14" x14ac:dyDescent="0.2">
      <c r="A292" s="69" t="s">
        <v>63</v>
      </c>
      <c r="B292" s="32">
        <v>1687510</v>
      </c>
      <c r="C292" s="97">
        <v>1529801</v>
      </c>
      <c r="D292" s="89">
        <v>2447058</v>
      </c>
      <c r="E292" s="97">
        <v>1123944</v>
      </c>
      <c r="F292" s="32">
        <v>1000914</v>
      </c>
      <c r="G292" s="97">
        <v>1683773</v>
      </c>
      <c r="H292" s="34">
        <v>1632929</v>
      </c>
      <c r="I292" s="98">
        <v>1903560</v>
      </c>
      <c r="J292" s="32">
        <v>1834928</v>
      </c>
      <c r="K292" s="255">
        <v>2024414</v>
      </c>
      <c r="L292" s="331">
        <v>1842736</v>
      </c>
      <c r="M292" s="255">
        <v>2016816</v>
      </c>
      <c r="N292" s="331"/>
    </row>
    <row r="293" spans="1:14" x14ac:dyDescent="0.2">
      <c r="A293" s="69" t="s">
        <v>64</v>
      </c>
      <c r="B293" s="32">
        <v>0</v>
      </c>
      <c r="C293" s="97">
        <v>0</v>
      </c>
      <c r="D293" s="89">
        <v>0</v>
      </c>
      <c r="E293" s="97">
        <v>1590050</v>
      </c>
      <c r="F293" s="32">
        <v>1584245</v>
      </c>
      <c r="G293" s="97">
        <v>1159770</v>
      </c>
      <c r="H293" s="34">
        <v>1795073</v>
      </c>
      <c r="I293" s="98">
        <v>3041141</v>
      </c>
      <c r="J293" s="32">
        <v>3182138</v>
      </c>
      <c r="K293" s="255">
        <v>3508002</v>
      </c>
      <c r="L293" s="331">
        <v>3727372</v>
      </c>
      <c r="M293" s="255">
        <v>2586624</v>
      </c>
      <c r="N293" s="331"/>
    </row>
    <row r="294" spans="1:14" x14ac:dyDescent="0.2">
      <c r="A294" s="68" t="s">
        <v>86</v>
      </c>
      <c r="B294" s="36">
        <f>SUM(B291:B293)</f>
        <v>2980460</v>
      </c>
      <c r="C294" s="102">
        <f t="shared" ref="C294:I294" si="129">SUM(C291:C293)</f>
        <v>2955567</v>
      </c>
      <c r="D294" s="307">
        <f t="shared" si="129"/>
        <v>4344328</v>
      </c>
      <c r="E294" s="102">
        <f t="shared" si="129"/>
        <v>4611206</v>
      </c>
      <c r="F294" s="36">
        <f t="shared" si="129"/>
        <v>4082571</v>
      </c>
      <c r="G294" s="99">
        <f t="shared" si="129"/>
        <v>4567805</v>
      </c>
      <c r="H294" s="39">
        <f t="shared" si="129"/>
        <v>5793695</v>
      </c>
      <c r="I294" s="99">
        <f t="shared" si="129"/>
        <v>7508784</v>
      </c>
      <c r="J294" s="52">
        <f>SUM(J291:J293)</f>
        <v>7671096</v>
      </c>
      <c r="K294" s="259">
        <f>SUM(K291:K293)</f>
        <v>8305443</v>
      </c>
      <c r="L294" s="249">
        <f>SUM(L290:L293)</f>
        <v>9745381</v>
      </c>
      <c r="M294" s="259">
        <f>SUM(M290:M293)</f>
        <v>6884893</v>
      </c>
      <c r="N294" s="249">
        <f>SUM(N290:N293)</f>
        <v>0</v>
      </c>
    </row>
    <row r="295" spans="1:14" ht="10.9" customHeight="1" x14ac:dyDescent="0.2">
      <c r="A295" s="132" t="s">
        <v>188</v>
      </c>
      <c r="B295" s="40"/>
      <c r="C295" s="40">
        <f t="shared" ref="C295:J295" si="130">(C294-B294)/B294</f>
        <v>-8.352066459539802E-3</v>
      </c>
      <c r="D295" s="132">
        <f t="shared" si="130"/>
        <v>0.46987972189430993</v>
      </c>
      <c r="E295" s="40">
        <f t="shared" si="130"/>
        <v>6.1431365219200763E-2</v>
      </c>
      <c r="F295" s="40">
        <f t="shared" si="130"/>
        <v>-0.11464137581361579</v>
      </c>
      <c r="G295" s="40">
        <f t="shared" si="130"/>
        <v>0.11885500582843507</v>
      </c>
      <c r="H295" s="40">
        <f t="shared" si="130"/>
        <v>0.2683761675465568</v>
      </c>
      <c r="I295" s="40">
        <f t="shared" si="130"/>
        <v>0.29602680154892519</v>
      </c>
      <c r="J295" s="40">
        <f t="shared" si="130"/>
        <v>2.1616283009339463E-2</v>
      </c>
      <c r="K295" s="224">
        <f>(K294-J294)/J294</f>
        <v>8.26931379818477E-2</v>
      </c>
      <c r="L295" s="224">
        <f>(L294-K294)/K294</f>
        <v>0.1733728110589646</v>
      </c>
      <c r="M295" s="224">
        <f>(M294-L294)/L294</f>
        <v>-0.29352243898930169</v>
      </c>
      <c r="N295" s="224">
        <f>(N294-M294)/M294</f>
        <v>-1</v>
      </c>
    </row>
    <row r="296" spans="1:14" ht="13.15" customHeight="1" x14ac:dyDescent="0.2">
      <c r="A296" s="75" t="s">
        <v>87</v>
      </c>
      <c r="B296" s="439">
        <f t="shared" ref="B296:K296" si="131">SUM(B258+B270+B272-B287)</f>
        <v>2980260</v>
      </c>
      <c r="C296" s="61">
        <f t="shared" si="131"/>
        <v>2953553</v>
      </c>
      <c r="D296" s="440">
        <f t="shared" si="131"/>
        <v>4344328</v>
      </c>
      <c r="E296" s="61">
        <f t="shared" si="131"/>
        <v>4611206</v>
      </c>
      <c r="F296" s="439">
        <f t="shared" si="131"/>
        <v>4081385</v>
      </c>
      <c r="G296" s="439">
        <f t="shared" si="131"/>
        <v>4566710</v>
      </c>
      <c r="H296" s="439">
        <f t="shared" si="131"/>
        <v>5791101</v>
      </c>
      <c r="I296" s="439">
        <f t="shared" si="131"/>
        <v>7508784</v>
      </c>
      <c r="J296" s="439">
        <f t="shared" si="131"/>
        <v>7671098</v>
      </c>
      <c r="K296" s="439">
        <f t="shared" si="131"/>
        <v>8305418</v>
      </c>
      <c r="L296" s="441">
        <f>SUM(L258+L270+L272-L287)</f>
        <v>9745381</v>
      </c>
      <c r="M296" s="441">
        <f>SUM(M258+M270+M272-M287)</f>
        <v>6884893</v>
      </c>
      <c r="N296" s="441">
        <f>SUM(N258+N270+N272-N287)</f>
        <v>0</v>
      </c>
    </row>
    <row r="297" spans="1:14" s="433" customFormat="1" ht="6" customHeight="1" x14ac:dyDescent="0.2">
      <c r="A297" s="137"/>
      <c r="B297" s="138"/>
      <c r="C297" s="138"/>
      <c r="D297" s="138"/>
      <c r="E297" s="402"/>
      <c r="F297" s="411"/>
      <c r="G297" s="316"/>
      <c r="H297" s="316"/>
      <c r="I297" s="316"/>
      <c r="J297" s="316"/>
      <c r="K297" s="437"/>
      <c r="L297" s="437"/>
      <c r="M297" s="437"/>
      <c r="N297" s="437"/>
    </row>
    <row r="298" spans="1:14" x14ac:dyDescent="0.2">
      <c r="A298" s="139" t="s">
        <v>95</v>
      </c>
      <c r="B298" s="62" t="s">
        <v>116</v>
      </c>
      <c r="C298" s="62" t="s">
        <v>115</v>
      </c>
      <c r="D298" s="107" t="s">
        <v>127</v>
      </c>
      <c r="E298" s="83" t="s">
        <v>113</v>
      </c>
      <c r="F298" s="63" t="s">
        <v>137</v>
      </c>
      <c r="G298" s="83" t="s">
        <v>125</v>
      </c>
      <c r="H298" s="83" t="s">
        <v>124</v>
      </c>
      <c r="I298" s="83" t="s">
        <v>194</v>
      </c>
      <c r="J298" s="83" t="s">
        <v>193</v>
      </c>
      <c r="K298" s="246" t="s">
        <v>249</v>
      </c>
      <c r="L298" s="324" t="str">
        <f>L2</f>
        <v>CY'2016</v>
      </c>
      <c r="M298" s="324" t="str">
        <f>M2</f>
        <v>CY'2017</v>
      </c>
      <c r="N298" s="324" t="str">
        <f>N2</f>
        <v>CY'2018</v>
      </c>
    </row>
    <row r="299" spans="1:14" ht="10.9" customHeight="1" x14ac:dyDescent="0.2">
      <c r="A299" s="111"/>
      <c r="B299" s="64" t="s">
        <v>171</v>
      </c>
      <c r="C299" s="131" t="s">
        <v>170</v>
      </c>
      <c r="D299" s="304" t="s">
        <v>169</v>
      </c>
      <c r="E299" s="131" t="s">
        <v>168</v>
      </c>
      <c r="F299" s="64" t="s">
        <v>167</v>
      </c>
      <c r="G299" s="131" t="s">
        <v>166</v>
      </c>
      <c r="H299" s="64" t="s">
        <v>165</v>
      </c>
      <c r="I299" s="131" t="s">
        <v>207</v>
      </c>
      <c r="J299" s="64" t="s">
        <v>206</v>
      </c>
      <c r="K299" s="260" t="s">
        <v>254</v>
      </c>
      <c r="L299" s="247" t="s">
        <v>263</v>
      </c>
      <c r="M299" s="260" t="s">
        <v>285</v>
      </c>
      <c r="N299" s="247" t="s">
        <v>291</v>
      </c>
    </row>
    <row r="300" spans="1:14" ht="10.9" customHeight="1" x14ac:dyDescent="0.2">
      <c r="A300" s="88" t="s">
        <v>61</v>
      </c>
      <c r="B300" s="108"/>
      <c r="C300" s="279"/>
      <c r="D300" s="109"/>
      <c r="E300" s="279"/>
      <c r="F300" s="87"/>
      <c r="G300" s="277"/>
      <c r="H300" s="27"/>
      <c r="I300" s="277"/>
      <c r="J300" s="27"/>
      <c r="K300" s="261"/>
      <c r="L300" s="334"/>
      <c r="M300" s="261"/>
      <c r="N300" s="334"/>
    </row>
    <row r="301" spans="1:14" ht="10.9" customHeight="1" x14ac:dyDescent="0.2">
      <c r="A301" s="69" t="s">
        <v>264</v>
      </c>
      <c r="B301" s="108"/>
      <c r="C301" s="279"/>
      <c r="D301" s="109"/>
      <c r="E301" s="279"/>
      <c r="F301" s="87"/>
      <c r="G301" s="277"/>
      <c r="H301" s="27"/>
      <c r="I301" s="277"/>
      <c r="J301" s="27"/>
      <c r="K301" s="261"/>
      <c r="L301" s="328">
        <v>0</v>
      </c>
      <c r="M301" s="371">
        <v>0</v>
      </c>
      <c r="N301" s="328"/>
    </row>
    <row r="302" spans="1:14" x14ac:dyDescent="0.2">
      <c r="A302" s="69" t="s">
        <v>62</v>
      </c>
      <c r="B302" s="35">
        <v>1375747</v>
      </c>
      <c r="C302" s="98">
        <v>1292950</v>
      </c>
      <c r="D302" s="306">
        <v>1425766</v>
      </c>
      <c r="E302" s="98">
        <v>1897270</v>
      </c>
      <c r="F302" s="32">
        <v>1897212</v>
      </c>
      <c r="G302" s="98">
        <v>1497412</v>
      </c>
      <c r="H302" s="32">
        <v>1724262</v>
      </c>
      <c r="I302" s="98">
        <v>2365693</v>
      </c>
      <c r="J302" s="280">
        <v>2564083</v>
      </c>
      <c r="K302" s="262">
        <v>2654030</v>
      </c>
      <c r="L302" s="232">
        <v>2773027</v>
      </c>
      <c r="M302" s="262">
        <v>4175273</v>
      </c>
      <c r="N302" s="232"/>
    </row>
    <row r="303" spans="1:14" x14ac:dyDescent="0.2">
      <c r="A303" s="69" t="s">
        <v>63</v>
      </c>
      <c r="B303" s="35">
        <v>1614077</v>
      </c>
      <c r="C303" s="98">
        <v>1687510</v>
      </c>
      <c r="D303" s="306">
        <v>1529801</v>
      </c>
      <c r="E303" s="98">
        <v>2447058</v>
      </c>
      <c r="F303" s="32">
        <v>1123944</v>
      </c>
      <c r="G303" s="98">
        <v>1000914</v>
      </c>
      <c r="H303" s="32">
        <v>1683773</v>
      </c>
      <c r="I303" s="98">
        <v>1632929</v>
      </c>
      <c r="J303" s="280">
        <v>1903560</v>
      </c>
      <c r="K303" s="262">
        <v>1834928</v>
      </c>
      <c r="L303" s="232">
        <v>2024414</v>
      </c>
      <c r="M303" s="262">
        <v>1842736</v>
      </c>
      <c r="N303" s="232"/>
    </row>
    <row r="304" spans="1:14" x14ac:dyDescent="0.2">
      <c r="A304" s="69" t="s">
        <v>64</v>
      </c>
      <c r="B304" s="35">
        <v>0</v>
      </c>
      <c r="C304" s="98">
        <v>0</v>
      </c>
      <c r="D304" s="306">
        <v>0</v>
      </c>
      <c r="E304" s="98">
        <v>0</v>
      </c>
      <c r="F304" s="32">
        <v>1590050</v>
      </c>
      <c r="G304" s="98">
        <v>1584245</v>
      </c>
      <c r="H304" s="32">
        <v>1159770</v>
      </c>
      <c r="I304" s="98">
        <v>1795073</v>
      </c>
      <c r="J304" s="280">
        <v>3041141</v>
      </c>
      <c r="K304" s="262">
        <v>3182138</v>
      </c>
      <c r="L304" s="232">
        <v>3508002</v>
      </c>
      <c r="M304" s="262">
        <v>3727372</v>
      </c>
      <c r="N304" s="232"/>
    </row>
    <row r="305" spans="1:14" x14ac:dyDescent="0.2">
      <c r="A305" s="69" t="s">
        <v>65</v>
      </c>
      <c r="B305" s="35">
        <f>SUM(B302:B304)</f>
        <v>2989824</v>
      </c>
      <c r="C305" s="98">
        <f t="shared" ref="C305:K305" si="132">SUM(C302:C304)</f>
        <v>2980460</v>
      </c>
      <c r="D305" s="306">
        <f t="shared" si="132"/>
        <v>2955567</v>
      </c>
      <c r="E305" s="98">
        <f t="shared" si="132"/>
        <v>4344328</v>
      </c>
      <c r="F305" s="35">
        <f t="shared" si="132"/>
        <v>4611206</v>
      </c>
      <c r="G305" s="98">
        <f t="shared" si="132"/>
        <v>4082571</v>
      </c>
      <c r="H305" s="35">
        <f t="shared" si="132"/>
        <v>4567805</v>
      </c>
      <c r="I305" s="98">
        <f t="shared" si="132"/>
        <v>5793695</v>
      </c>
      <c r="J305" s="281">
        <f t="shared" si="132"/>
        <v>7508784</v>
      </c>
      <c r="K305" s="259">
        <f t="shared" si="132"/>
        <v>7671096</v>
      </c>
      <c r="L305" s="249">
        <f>SUM(L301:L304)</f>
        <v>8305443</v>
      </c>
      <c r="M305" s="259">
        <f>SUM(M301:M304)</f>
        <v>9745381</v>
      </c>
      <c r="N305" s="249">
        <f>SUM(N301:N304)</f>
        <v>0</v>
      </c>
    </row>
    <row r="306" spans="1:14" x14ac:dyDescent="0.2">
      <c r="A306" s="69" t="s">
        <v>66</v>
      </c>
      <c r="B306" s="35">
        <v>46736</v>
      </c>
      <c r="C306" s="98">
        <v>189448</v>
      </c>
      <c r="D306" s="306">
        <v>64735</v>
      </c>
      <c r="E306" s="98">
        <v>112416</v>
      </c>
      <c r="F306" s="32">
        <v>51107</v>
      </c>
      <c r="G306" s="98">
        <v>47545</v>
      </c>
      <c r="H306" s="44">
        <v>48491</v>
      </c>
      <c r="I306" s="98">
        <v>46697</v>
      </c>
      <c r="J306" s="280">
        <v>-29629</v>
      </c>
      <c r="K306" s="262">
        <v>251594</v>
      </c>
      <c r="L306" s="232">
        <v>-14375</v>
      </c>
      <c r="M306" s="262">
        <v>-121300</v>
      </c>
      <c r="N306" s="232"/>
    </row>
    <row r="307" spans="1:14" x14ac:dyDescent="0.2">
      <c r="A307" s="68" t="s">
        <v>67</v>
      </c>
      <c r="B307" s="36">
        <f>SUM(B305:B306)</f>
        <v>3036560</v>
      </c>
      <c r="C307" s="99">
        <f t="shared" ref="C307:K307" si="133">SUM(C305:C306)</f>
        <v>3169908</v>
      </c>
      <c r="D307" s="307">
        <f t="shared" si="133"/>
        <v>3020302</v>
      </c>
      <c r="E307" s="99">
        <f t="shared" si="133"/>
        <v>4456744</v>
      </c>
      <c r="F307" s="36">
        <f t="shared" si="133"/>
        <v>4662313</v>
      </c>
      <c r="G307" s="99">
        <f t="shared" si="133"/>
        <v>4130116</v>
      </c>
      <c r="H307" s="36">
        <f t="shared" si="133"/>
        <v>4616296</v>
      </c>
      <c r="I307" s="99">
        <f t="shared" si="133"/>
        <v>5840392</v>
      </c>
      <c r="J307" s="36">
        <f t="shared" si="133"/>
        <v>7479155</v>
      </c>
      <c r="K307" s="259">
        <f t="shared" si="133"/>
        <v>7922690</v>
      </c>
      <c r="L307" s="249">
        <f t="shared" ref="L307:N307" si="134">SUM(L305:L306)</f>
        <v>8291068</v>
      </c>
      <c r="M307" s="259">
        <f t="shared" si="134"/>
        <v>9624081</v>
      </c>
      <c r="N307" s="249">
        <f t="shared" si="134"/>
        <v>0</v>
      </c>
    </row>
    <row r="308" spans="1:14" ht="10.9" customHeight="1" x14ac:dyDescent="0.2">
      <c r="A308" s="132" t="s">
        <v>188</v>
      </c>
      <c r="B308" s="40"/>
      <c r="C308" s="40">
        <f t="shared" ref="C308:J308" si="135">(C307-B307)/B307</f>
        <v>4.3914166029981293E-2</v>
      </c>
      <c r="D308" s="132">
        <f t="shared" si="135"/>
        <v>-4.71956914837907E-2</v>
      </c>
      <c r="E308" s="40">
        <f t="shared" si="135"/>
        <v>0.47559548680893499</v>
      </c>
      <c r="F308" s="40">
        <f t="shared" si="135"/>
        <v>4.6125377629946888E-2</v>
      </c>
      <c r="G308" s="40">
        <f t="shared" si="135"/>
        <v>-0.11414870687575029</v>
      </c>
      <c r="H308" s="40">
        <f t="shared" si="135"/>
        <v>0.11771582202533779</v>
      </c>
      <c r="I308" s="40">
        <f t="shared" si="135"/>
        <v>0.26516843807242862</v>
      </c>
      <c r="J308" s="40">
        <f t="shared" si="135"/>
        <v>0.28059126853129035</v>
      </c>
      <c r="K308" s="224">
        <f>(K307-J307)/J307</f>
        <v>5.9302822310809175E-2</v>
      </c>
      <c r="L308" s="224">
        <f>(L307-K307)/K307</f>
        <v>4.6496581337904172E-2</v>
      </c>
      <c r="M308" s="224">
        <f>(M307-L307)/L307</f>
        <v>0.16077699519531138</v>
      </c>
      <c r="N308" s="224">
        <f>(N307-M307)/M307</f>
        <v>-1</v>
      </c>
    </row>
    <row r="309" spans="1:14" x14ac:dyDescent="0.2">
      <c r="A309" s="88" t="s">
        <v>68</v>
      </c>
      <c r="B309" s="85"/>
      <c r="C309" s="279"/>
      <c r="D309" s="393"/>
      <c r="E309" s="279"/>
      <c r="F309" s="90"/>
      <c r="G309" s="277"/>
      <c r="H309" s="27"/>
      <c r="I309" s="104"/>
      <c r="J309" s="27"/>
      <c r="K309" s="261"/>
      <c r="L309" s="334"/>
      <c r="M309" s="261"/>
      <c r="N309" s="334"/>
    </row>
    <row r="310" spans="1:14" x14ac:dyDescent="0.2">
      <c r="A310" s="69" t="s">
        <v>69</v>
      </c>
      <c r="B310" s="35">
        <v>1879610</v>
      </c>
      <c r="C310" s="98">
        <v>1521894</v>
      </c>
      <c r="D310" s="306">
        <v>2374353</v>
      </c>
      <c r="E310" s="98">
        <v>1817060</v>
      </c>
      <c r="F310" s="32">
        <v>1892382</v>
      </c>
      <c r="G310" s="98">
        <v>2358481</v>
      </c>
      <c r="H310" s="32">
        <v>2157436</v>
      </c>
      <c r="I310" s="98">
        <v>1866242</v>
      </c>
      <c r="J310" s="282">
        <v>1894483</v>
      </c>
      <c r="K310" s="262">
        <v>2190416</v>
      </c>
      <c r="L310" s="232">
        <v>2102566</v>
      </c>
      <c r="M310" s="262">
        <v>1758592</v>
      </c>
      <c r="N310" s="232"/>
    </row>
    <row r="311" spans="1:14" x14ac:dyDescent="0.2">
      <c r="A311" s="69" t="s">
        <v>70</v>
      </c>
      <c r="B311" s="35">
        <v>465741</v>
      </c>
      <c r="C311" s="98">
        <v>521905</v>
      </c>
      <c r="D311" s="306">
        <v>508247</v>
      </c>
      <c r="E311" s="98">
        <v>544066</v>
      </c>
      <c r="F311" s="32">
        <v>548889</v>
      </c>
      <c r="G311" s="98">
        <v>494979</v>
      </c>
      <c r="H311" s="32">
        <v>536014</v>
      </c>
      <c r="I311" s="98">
        <v>508805</v>
      </c>
      <c r="J311" s="282">
        <v>570842</v>
      </c>
      <c r="K311" s="262">
        <v>438289</v>
      </c>
      <c r="L311" s="232">
        <v>575192</v>
      </c>
      <c r="M311" s="262">
        <v>422830</v>
      </c>
      <c r="N311" s="232"/>
    </row>
    <row r="312" spans="1:14" x14ac:dyDescent="0.2">
      <c r="A312" s="69" t="s">
        <v>71</v>
      </c>
      <c r="B312" s="35">
        <v>465745</v>
      </c>
      <c r="C312" s="98">
        <v>491505</v>
      </c>
      <c r="D312" s="306">
        <v>399348</v>
      </c>
      <c r="E312" s="98">
        <v>429645</v>
      </c>
      <c r="F312" s="32">
        <v>286830</v>
      </c>
      <c r="G312" s="98">
        <v>360533</v>
      </c>
      <c r="H312" s="32">
        <v>403639</v>
      </c>
      <c r="I312" s="98">
        <v>425491</v>
      </c>
      <c r="J312" s="282">
        <v>492649</v>
      </c>
      <c r="K312" s="262">
        <v>546949</v>
      </c>
      <c r="L312" s="232">
        <v>379458</v>
      </c>
      <c r="M312" s="262">
        <v>474359</v>
      </c>
      <c r="N312" s="232"/>
    </row>
    <row r="313" spans="1:14" x14ac:dyDescent="0.2">
      <c r="A313" s="69" t="s">
        <v>72</v>
      </c>
      <c r="B313" s="35">
        <v>121368</v>
      </c>
      <c r="C313" s="98">
        <v>188094</v>
      </c>
      <c r="D313" s="306">
        <v>108205</v>
      </c>
      <c r="E313" s="98">
        <v>179225</v>
      </c>
      <c r="F313" s="32">
        <v>118367</v>
      </c>
      <c r="G313" s="98">
        <v>123072</v>
      </c>
      <c r="H313" s="32">
        <v>136653</v>
      </c>
      <c r="I313" s="98">
        <v>147891</v>
      </c>
      <c r="J313" s="282">
        <v>149883</v>
      </c>
      <c r="K313" s="262">
        <v>196085</v>
      </c>
      <c r="L313" s="232">
        <v>159475</v>
      </c>
      <c r="M313" s="262">
        <v>130684</v>
      </c>
      <c r="N313" s="232"/>
    </row>
    <row r="314" spans="1:14" x14ac:dyDescent="0.2">
      <c r="A314" s="69" t="s">
        <v>73</v>
      </c>
      <c r="B314" s="35">
        <v>3847157</v>
      </c>
      <c r="C314" s="98">
        <v>3823669</v>
      </c>
      <c r="D314" s="306">
        <v>4463818</v>
      </c>
      <c r="E314" s="98">
        <v>3955284</v>
      </c>
      <c r="F314" s="32">
        <v>3950192</v>
      </c>
      <c r="G314" s="98">
        <v>4416223</v>
      </c>
      <c r="H314" s="32">
        <v>4702938</v>
      </c>
      <c r="I314" s="98">
        <v>5861014</v>
      </c>
      <c r="J314" s="282">
        <v>4923580</v>
      </c>
      <c r="K314" s="262">
        <v>4687177</v>
      </c>
      <c r="L314" s="232">
        <v>6040837</v>
      </c>
      <c r="M314" s="262">
        <v>5335325</v>
      </c>
      <c r="N314" s="232"/>
    </row>
    <row r="315" spans="1:14" x14ac:dyDescent="0.2">
      <c r="A315" s="69" t="s">
        <v>74</v>
      </c>
      <c r="B315" s="35">
        <v>652</v>
      </c>
      <c r="C315" s="98">
        <v>580</v>
      </c>
      <c r="D315" s="306">
        <v>6282</v>
      </c>
      <c r="E315" s="98">
        <v>7599</v>
      </c>
      <c r="F315" s="32">
        <v>900</v>
      </c>
      <c r="G315" s="98">
        <v>1304</v>
      </c>
      <c r="H315" s="32">
        <v>569</v>
      </c>
      <c r="I315" s="98">
        <v>9169</v>
      </c>
      <c r="J315" s="282">
        <v>27308</v>
      </c>
      <c r="K315" s="262">
        <v>131</v>
      </c>
      <c r="L315" s="232">
        <v>217</v>
      </c>
      <c r="M315" s="262">
        <v>196</v>
      </c>
      <c r="N315" s="232"/>
    </row>
    <row r="316" spans="1:14" x14ac:dyDescent="0.2">
      <c r="A316" s="72" t="s">
        <v>75</v>
      </c>
      <c r="B316" s="35">
        <f>SUM(B310:B315)</f>
        <v>6780273</v>
      </c>
      <c r="C316" s="98">
        <f t="shared" ref="C316:J316" si="136">SUM(C310:C315)</f>
        <v>6547647</v>
      </c>
      <c r="D316" s="306">
        <f t="shared" si="136"/>
        <v>7860253</v>
      </c>
      <c r="E316" s="98">
        <f t="shared" si="136"/>
        <v>6932879</v>
      </c>
      <c r="F316" s="35">
        <f t="shared" si="136"/>
        <v>6797560</v>
      </c>
      <c r="G316" s="98">
        <f t="shared" si="136"/>
        <v>7754592</v>
      </c>
      <c r="H316" s="35">
        <f t="shared" si="136"/>
        <v>7937249</v>
      </c>
      <c r="I316" s="98">
        <f t="shared" si="136"/>
        <v>8818612</v>
      </c>
      <c r="J316" s="35">
        <f t="shared" si="136"/>
        <v>8058745</v>
      </c>
      <c r="K316" s="263">
        <f>SUM(K310:K315)</f>
        <v>8059047</v>
      </c>
      <c r="L316" s="233">
        <f>SUM(L310:L315)</f>
        <v>9257745</v>
      </c>
      <c r="M316" s="263">
        <f>SUM(M310:M315)</f>
        <v>8121986</v>
      </c>
      <c r="N316" s="233">
        <f>SUM(N310:N315)</f>
        <v>0</v>
      </c>
    </row>
    <row r="317" spans="1:14" customFormat="1" ht="10.9" customHeight="1" x14ac:dyDescent="0.2">
      <c r="A317" s="132" t="s">
        <v>188</v>
      </c>
      <c r="B317" s="40"/>
      <c r="C317" s="40">
        <f t="shared" ref="C317:J317" si="137">(C316-B316)/B316</f>
        <v>-3.4309237990859658E-2</v>
      </c>
      <c r="D317" s="132">
        <f t="shared" si="137"/>
        <v>0.20046987872131775</v>
      </c>
      <c r="E317" s="40">
        <f t="shared" si="137"/>
        <v>-0.11798271633241322</v>
      </c>
      <c r="F317" s="40">
        <f t="shared" si="137"/>
        <v>-1.9518442482553064E-2</v>
      </c>
      <c r="G317" s="40">
        <f t="shared" si="137"/>
        <v>0.14079051895091768</v>
      </c>
      <c r="H317" s="40">
        <f t="shared" si="137"/>
        <v>2.3554688628363685E-2</v>
      </c>
      <c r="I317" s="40">
        <f>(I316-H316)/H316</f>
        <v>0.11104136962315281</v>
      </c>
      <c r="J317" s="40">
        <f t="shared" si="137"/>
        <v>-8.6166281042867068E-2</v>
      </c>
      <c r="K317" s="224">
        <f>(K316-J316)/J316</f>
        <v>3.7474817729063269E-5</v>
      </c>
      <c r="L317" s="224">
        <f>(L316-K316)/K316</f>
        <v>0.14873942291191503</v>
      </c>
      <c r="M317" s="224">
        <f>(M316-L316)/L316</f>
        <v>-0.1226820354200726</v>
      </c>
      <c r="N317" s="224">
        <f>(N316-M316)/M316</f>
        <v>-1</v>
      </c>
    </row>
    <row r="318" spans="1:14" x14ac:dyDescent="0.2">
      <c r="A318" s="69" t="s">
        <v>76</v>
      </c>
      <c r="B318" s="35">
        <v>1108930</v>
      </c>
      <c r="C318" s="98">
        <v>1002801</v>
      </c>
      <c r="D318" s="306">
        <v>936594</v>
      </c>
      <c r="E318" s="98">
        <v>1117555</v>
      </c>
      <c r="F318" s="32">
        <v>898779</v>
      </c>
      <c r="G318" s="98">
        <v>1031729</v>
      </c>
      <c r="H318" s="34">
        <v>1497547</v>
      </c>
      <c r="I318" s="98">
        <v>1547487</v>
      </c>
      <c r="J318" s="283">
        <v>1847523</v>
      </c>
      <c r="K318" s="262">
        <v>1822536</v>
      </c>
      <c r="L318" s="232">
        <f>86119+1972466+61609</f>
        <v>2120194</v>
      </c>
      <c r="M318" s="262">
        <v>1417332</v>
      </c>
      <c r="N318" s="232"/>
    </row>
    <row r="319" spans="1:14" x14ac:dyDescent="0.2">
      <c r="A319" s="68" t="s">
        <v>77</v>
      </c>
      <c r="B319" s="36">
        <f t="shared" ref="B319:J319" si="138">SUM(B316:B318)</f>
        <v>7889203</v>
      </c>
      <c r="C319" s="99">
        <f t="shared" si="138"/>
        <v>7550447.9656907618</v>
      </c>
      <c r="D319" s="307">
        <f t="shared" si="138"/>
        <v>8796847.2004698776</v>
      </c>
      <c r="E319" s="99">
        <f t="shared" si="138"/>
        <v>8050433.8820172837</v>
      </c>
      <c r="F319" s="36">
        <f t="shared" si="138"/>
        <v>7696338.9804815575</v>
      </c>
      <c r="G319" s="99">
        <f t="shared" si="138"/>
        <v>8786321.1407905184</v>
      </c>
      <c r="H319" s="39">
        <f t="shared" si="138"/>
        <v>9434796.0235546883</v>
      </c>
      <c r="I319" s="99">
        <f t="shared" si="138"/>
        <v>10366099.111041369</v>
      </c>
      <c r="J319" s="36">
        <f t="shared" si="138"/>
        <v>9906267.9138337187</v>
      </c>
      <c r="K319" s="259">
        <f>SUM(K316+K318)</f>
        <v>9881583</v>
      </c>
      <c r="L319" s="249">
        <f>SUM(L316+L318)</f>
        <v>11377939</v>
      </c>
      <c r="M319" s="259">
        <f>SUM(M316+M318)</f>
        <v>9539318</v>
      </c>
      <c r="N319" s="249">
        <f>SUM(N316+N318)</f>
        <v>0</v>
      </c>
    </row>
    <row r="320" spans="1:14" ht="10.9" customHeight="1" x14ac:dyDescent="0.2">
      <c r="A320" s="132" t="s">
        <v>188</v>
      </c>
      <c r="B320" s="40"/>
      <c r="C320" s="40">
        <f t="shared" ref="C320:J320" si="139">(C319-B319)/B319</f>
        <v>-4.2939069296256946E-2</v>
      </c>
      <c r="D320" s="132">
        <f t="shared" si="139"/>
        <v>0.16507619686179606</v>
      </c>
      <c r="E320" s="40">
        <f t="shared" si="139"/>
        <v>-8.485009474902834E-2</v>
      </c>
      <c r="F320" s="40">
        <f t="shared" si="139"/>
        <v>-4.3984573592572226E-2</v>
      </c>
      <c r="G320" s="40">
        <f t="shared" si="139"/>
        <v>0.1416234605925272</v>
      </c>
      <c r="H320" s="40">
        <f t="shared" si="139"/>
        <v>7.3805051326160123E-2</v>
      </c>
      <c r="I320" s="40">
        <f>(I319-H319)/H319</f>
        <v>9.8709403484888422E-2</v>
      </c>
      <c r="J320" s="40">
        <f t="shared" si="139"/>
        <v>-4.4359135705915119E-2</v>
      </c>
      <c r="K320" s="224">
        <f>(K319-J319)/J319</f>
        <v>-2.4918479944649207E-3</v>
      </c>
      <c r="L320" s="224">
        <f>(L319-K319)/K319</f>
        <v>0.15142877411443087</v>
      </c>
      <c r="M320" s="224">
        <f>(M319-L319)/L319</f>
        <v>-0.16159525903592908</v>
      </c>
      <c r="N320" s="224">
        <f>(N319-M319)/M319</f>
        <v>-1</v>
      </c>
    </row>
    <row r="321" spans="1:14" x14ac:dyDescent="0.2">
      <c r="A321" s="69" t="s">
        <v>55</v>
      </c>
      <c r="B321" s="35">
        <v>-86023</v>
      </c>
      <c r="C321" s="98">
        <v>-61613</v>
      </c>
      <c r="D321" s="306">
        <v>127765</v>
      </c>
      <c r="E321" s="98">
        <v>43553</v>
      </c>
      <c r="F321" s="32">
        <v>283660</v>
      </c>
      <c r="G321" s="98">
        <v>6859</v>
      </c>
      <c r="H321" s="159">
        <v>-5794</v>
      </c>
      <c r="I321" s="98">
        <v>92883</v>
      </c>
      <c r="J321" s="159">
        <v>48006</v>
      </c>
      <c r="K321" s="262">
        <v>-38392</v>
      </c>
      <c r="L321" s="232">
        <v>-113707</v>
      </c>
      <c r="M321" s="262">
        <v>54880</v>
      </c>
      <c r="N321" s="232"/>
    </row>
    <row r="322" spans="1:14" ht="12" customHeight="1" x14ac:dyDescent="0.2">
      <c r="A322" s="88" t="s">
        <v>78</v>
      </c>
      <c r="B322" s="85"/>
      <c r="C322" s="284"/>
      <c r="D322" s="393"/>
      <c r="E322" s="284"/>
      <c r="F322" s="90"/>
      <c r="G322" s="104"/>
      <c r="H322" s="27"/>
      <c r="I322" s="104"/>
      <c r="J322" s="27"/>
      <c r="K322" s="262"/>
      <c r="L322" s="232"/>
      <c r="M322" s="262"/>
      <c r="N322" s="232"/>
    </row>
    <row r="323" spans="1:14" x14ac:dyDescent="0.2">
      <c r="A323" s="69" t="s">
        <v>355</v>
      </c>
      <c r="B323" s="35">
        <v>259746</v>
      </c>
      <c r="C323" s="98">
        <v>291587</v>
      </c>
      <c r="D323" s="306">
        <v>252694</v>
      </c>
      <c r="E323" s="98">
        <v>241219</v>
      </c>
      <c r="F323" s="32">
        <v>257012</v>
      </c>
      <c r="G323" s="98">
        <v>258980</v>
      </c>
      <c r="H323" s="32">
        <v>265364</v>
      </c>
      <c r="I323" s="98">
        <v>270383</v>
      </c>
      <c r="J323" s="159">
        <v>258767</v>
      </c>
      <c r="K323" s="262">
        <v>270229</v>
      </c>
      <c r="L323" s="232">
        <v>288697</v>
      </c>
      <c r="M323" s="262">
        <v>284672</v>
      </c>
      <c r="N323" s="232"/>
    </row>
    <row r="324" spans="1:14" x14ac:dyDescent="0.2">
      <c r="A324" s="69" t="s">
        <v>357</v>
      </c>
      <c r="B324" s="35">
        <v>4908279</v>
      </c>
      <c r="C324" s="98">
        <v>5172241</v>
      </c>
      <c r="D324" s="306">
        <v>4701831</v>
      </c>
      <c r="E324" s="98">
        <v>4671458</v>
      </c>
      <c r="F324" s="32">
        <v>4714664</v>
      </c>
      <c r="G324" s="98">
        <v>4571098</v>
      </c>
      <c r="H324" s="32">
        <v>4355999</v>
      </c>
      <c r="I324" s="98">
        <v>4584764</v>
      </c>
      <c r="J324" s="159">
        <v>4835007</v>
      </c>
      <c r="K324" s="262">
        <v>5019799</v>
      </c>
      <c r="L324" s="232">
        <v>4946025</v>
      </c>
      <c r="M324" s="262">
        <v>5551583</v>
      </c>
      <c r="N324" s="232"/>
    </row>
    <row r="325" spans="1:14" x14ac:dyDescent="0.2">
      <c r="A325" s="69" t="s">
        <v>358</v>
      </c>
      <c r="B325" s="35">
        <v>954046</v>
      </c>
      <c r="C325" s="98">
        <v>653828</v>
      </c>
      <c r="D325" s="306">
        <v>579578</v>
      </c>
      <c r="E325" s="98">
        <v>820823</v>
      </c>
      <c r="F325" s="32">
        <v>959955</v>
      </c>
      <c r="G325" s="98">
        <v>704182</v>
      </c>
      <c r="H325" s="32">
        <v>830135</v>
      </c>
      <c r="I325" s="98">
        <v>713418</v>
      </c>
      <c r="J325" s="159">
        <v>896957</v>
      </c>
      <c r="K325" s="262">
        <v>751875</v>
      </c>
      <c r="L325" s="232">
        <f>273301+612298</f>
        <v>885599</v>
      </c>
      <c r="M325" s="262">
        <v>1420151</v>
      </c>
      <c r="N325" s="232"/>
    </row>
    <row r="326" spans="1:14" x14ac:dyDescent="0.2">
      <c r="A326" s="69" t="s">
        <v>79</v>
      </c>
      <c r="B326" s="35">
        <v>46138</v>
      </c>
      <c r="C326" s="98">
        <v>50015</v>
      </c>
      <c r="D326" s="306">
        <v>46594</v>
      </c>
      <c r="E326" s="98">
        <v>43387</v>
      </c>
      <c r="F326" s="32">
        <v>42391</v>
      </c>
      <c r="G326" s="98">
        <v>40034</v>
      </c>
      <c r="H326" s="32">
        <v>51270</v>
      </c>
      <c r="I326" s="98">
        <v>257528</v>
      </c>
      <c r="J326" s="159">
        <v>432967</v>
      </c>
      <c r="K326" s="264">
        <v>431573</v>
      </c>
      <c r="L326" s="335">
        <v>428481</v>
      </c>
      <c r="M326" s="264">
        <v>81341</v>
      </c>
      <c r="N326" s="335">
        <f>N227+M277</f>
        <v>110733</v>
      </c>
    </row>
    <row r="327" spans="1:14" x14ac:dyDescent="0.2">
      <c r="A327" s="68" t="s">
        <v>80</v>
      </c>
      <c r="B327" s="70">
        <f>SUM(B323:B326)</f>
        <v>6168209</v>
      </c>
      <c r="C327" s="106">
        <f t="shared" ref="C327:K327" si="140">SUM(C323:C326)</f>
        <v>6167671</v>
      </c>
      <c r="D327" s="308">
        <f t="shared" si="140"/>
        <v>5580697</v>
      </c>
      <c r="E327" s="106">
        <f t="shared" si="140"/>
        <v>5776887</v>
      </c>
      <c r="F327" s="70">
        <f t="shared" si="140"/>
        <v>5974022</v>
      </c>
      <c r="G327" s="106">
        <f t="shared" si="140"/>
        <v>5574294</v>
      </c>
      <c r="H327" s="70">
        <f t="shared" si="140"/>
        <v>5502768</v>
      </c>
      <c r="I327" s="106">
        <f t="shared" si="140"/>
        <v>5826093</v>
      </c>
      <c r="J327" s="70">
        <f t="shared" si="140"/>
        <v>6423698</v>
      </c>
      <c r="K327" s="265">
        <f t="shared" si="140"/>
        <v>6473476</v>
      </c>
      <c r="L327" s="336">
        <f t="shared" ref="L327:N327" si="141">SUM(L323:L326)</f>
        <v>6548802</v>
      </c>
      <c r="M327" s="265">
        <f t="shared" si="141"/>
        <v>7337747</v>
      </c>
      <c r="N327" s="336">
        <f t="shared" si="141"/>
        <v>110733</v>
      </c>
    </row>
    <row r="328" spans="1:14" ht="12" customHeight="1" x14ac:dyDescent="0.2">
      <c r="A328" s="132" t="s">
        <v>188</v>
      </c>
      <c r="B328" s="40"/>
      <c r="C328" s="40">
        <f t="shared" ref="C328:J328" si="142">(C327-B327)/B327</f>
        <v>-8.7221428456785429E-5</v>
      </c>
      <c r="D328" s="132">
        <f t="shared" si="142"/>
        <v>-9.5169473209579428E-2</v>
      </c>
      <c r="E328" s="40">
        <f t="shared" si="142"/>
        <v>3.5155106969613291E-2</v>
      </c>
      <c r="F328" s="40">
        <f t="shared" si="142"/>
        <v>3.4124780353155602E-2</v>
      </c>
      <c r="G328" s="40">
        <f t="shared" si="142"/>
        <v>-6.6911035814732525E-2</v>
      </c>
      <c r="H328" s="40">
        <f t="shared" si="142"/>
        <v>-1.2831400711910782E-2</v>
      </c>
      <c r="I328" s="40">
        <f t="shared" si="142"/>
        <v>5.875679294493244E-2</v>
      </c>
      <c r="J328" s="40">
        <f t="shared" si="142"/>
        <v>0.10257388613604349</v>
      </c>
      <c r="K328" s="224">
        <f>(K327-J327)/J327</f>
        <v>7.7491189654308153E-3</v>
      </c>
      <c r="L328" s="224">
        <f>(L327-K327)/K327</f>
        <v>1.163609782441458E-2</v>
      </c>
      <c r="M328" s="224">
        <f>(M327-L327)/L327</f>
        <v>0.12047165267784855</v>
      </c>
      <c r="N328" s="224">
        <f>(N327-M327)/M327</f>
        <v>-0.98490912810158215</v>
      </c>
    </row>
    <row r="329" spans="1:14" x14ac:dyDescent="0.2">
      <c r="A329" s="69" t="s">
        <v>81</v>
      </c>
      <c r="B329" s="35">
        <v>75240</v>
      </c>
      <c r="C329" s="98">
        <v>54899</v>
      </c>
      <c r="D329" s="306">
        <v>48313</v>
      </c>
      <c r="E329" s="98">
        <v>50667</v>
      </c>
      <c r="F329" s="32">
        <v>48267</v>
      </c>
      <c r="G329" s="98">
        <v>58847</v>
      </c>
      <c r="H329" s="32">
        <v>56275</v>
      </c>
      <c r="I329" s="98">
        <v>53581</v>
      </c>
      <c r="J329" s="159">
        <v>55952</v>
      </c>
      <c r="K329" s="262">
        <v>47906</v>
      </c>
      <c r="L329" s="232">
        <v>43821</v>
      </c>
      <c r="M329" s="262">
        <v>45273</v>
      </c>
      <c r="N329" s="232"/>
    </row>
    <row r="330" spans="1:14" x14ac:dyDescent="0.2">
      <c r="A330" s="69" t="s">
        <v>82</v>
      </c>
      <c r="B330" s="35">
        <v>1485823</v>
      </c>
      <c r="C330" s="98">
        <v>1519065</v>
      </c>
      <c r="D330" s="306">
        <v>1789979</v>
      </c>
      <c r="E330" s="98">
        <v>1768079</v>
      </c>
      <c r="F330" s="35">
        <v>1503215</v>
      </c>
      <c r="G330" s="98">
        <v>1653538</v>
      </c>
      <c r="H330" s="32">
        <v>1593483</v>
      </c>
      <c r="I330" s="98">
        <v>2069341</v>
      </c>
      <c r="J330" s="159">
        <v>2073404</v>
      </c>
      <c r="K330" s="262">
        <v>2319994</v>
      </c>
      <c r="L330" s="232">
        <v>2310063</v>
      </c>
      <c r="M330" s="262">
        <v>2592902</v>
      </c>
      <c r="N330" s="232"/>
    </row>
    <row r="331" spans="1:14" x14ac:dyDescent="0.2">
      <c r="A331" s="69" t="s">
        <v>367</v>
      </c>
      <c r="B331" s="35"/>
      <c r="C331" s="98"/>
      <c r="D331" s="306"/>
      <c r="E331" s="98">
        <v>36064</v>
      </c>
      <c r="F331" s="35">
        <v>697415</v>
      </c>
      <c r="G331" s="98">
        <v>548418</v>
      </c>
      <c r="H331" s="32">
        <v>676828</v>
      </c>
      <c r="I331" s="98">
        <v>591427</v>
      </c>
      <c r="J331" s="159">
        <v>597483</v>
      </c>
      <c r="K331" s="262">
        <v>649211</v>
      </c>
      <c r="L331" s="232">
        <v>651237</v>
      </c>
      <c r="M331" s="262">
        <v>741762</v>
      </c>
      <c r="N331" s="232"/>
    </row>
    <row r="332" spans="1:14" x14ac:dyDescent="0.2">
      <c r="A332" s="68" t="s">
        <v>83</v>
      </c>
      <c r="B332" s="36">
        <f>SUM(B329:B330)</f>
        <v>1561063</v>
      </c>
      <c r="C332" s="99">
        <f>SUM(C329:C330)</f>
        <v>1573964</v>
      </c>
      <c r="D332" s="307">
        <f>SUM(D329:D330)</f>
        <v>1838292</v>
      </c>
      <c r="E332" s="99">
        <f t="shared" ref="E332:N332" si="143">SUM(E329:E331)</f>
        <v>1854810</v>
      </c>
      <c r="F332" s="36">
        <f t="shared" si="143"/>
        <v>2248897</v>
      </c>
      <c r="G332" s="99">
        <f t="shared" si="143"/>
        <v>2260803</v>
      </c>
      <c r="H332" s="36">
        <f t="shared" si="143"/>
        <v>2326586</v>
      </c>
      <c r="I332" s="99">
        <f t="shared" si="143"/>
        <v>2714349</v>
      </c>
      <c r="J332" s="36">
        <f t="shared" si="143"/>
        <v>2726839</v>
      </c>
      <c r="K332" s="266">
        <f t="shared" si="143"/>
        <v>3017111</v>
      </c>
      <c r="L332" s="235">
        <f t="shared" si="143"/>
        <v>3005121</v>
      </c>
      <c r="M332" s="266">
        <f t="shared" si="143"/>
        <v>3379937</v>
      </c>
      <c r="N332" s="235">
        <f t="shared" si="143"/>
        <v>0</v>
      </c>
    </row>
    <row r="333" spans="1:14" ht="10.15" customHeight="1" x14ac:dyDescent="0.2">
      <c r="A333" s="132" t="s">
        <v>188</v>
      </c>
      <c r="B333" s="40"/>
      <c r="C333" s="40">
        <f t="shared" ref="C333:J333" si="144">(C332-B332)/B332</f>
        <v>8.2642404566631838E-3</v>
      </c>
      <c r="D333" s="132">
        <f t="shared" si="144"/>
        <v>0.16793776731869345</v>
      </c>
      <c r="E333" s="40">
        <f t="shared" si="144"/>
        <v>8.9855148148389914E-3</v>
      </c>
      <c r="F333" s="40">
        <f t="shared" si="144"/>
        <v>0.21246758428086973</v>
      </c>
      <c r="G333" s="40">
        <f t="shared" si="144"/>
        <v>5.2941508659578454E-3</v>
      </c>
      <c r="H333" s="40">
        <f t="shared" si="144"/>
        <v>2.9097183611309786E-2</v>
      </c>
      <c r="I333" s="40">
        <f t="shared" si="144"/>
        <v>0.16666609358089493</v>
      </c>
      <c r="J333" s="40">
        <f t="shared" si="144"/>
        <v>4.6014716604239171E-3</v>
      </c>
      <c r="K333" s="224">
        <f>(K332-J332)/J332</f>
        <v>0.10644999576432639</v>
      </c>
      <c r="L333" s="224">
        <f>(L332-K332)/K332</f>
        <v>-3.9740002936584033E-3</v>
      </c>
      <c r="M333" s="224">
        <f>(M332-L332)/L332</f>
        <v>0.12472575979469712</v>
      </c>
      <c r="N333" s="224">
        <f>(N332-M332)/M332</f>
        <v>-1</v>
      </c>
    </row>
    <row r="334" spans="1:14" x14ac:dyDescent="0.2">
      <c r="A334" s="68" t="s">
        <v>26</v>
      </c>
      <c r="B334" s="36">
        <f t="shared" ref="B334:N334" si="145">SUM(B332,B327)</f>
        <v>7729272</v>
      </c>
      <c r="C334" s="99">
        <f t="shared" si="145"/>
        <v>7741635</v>
      </c>
      <c r="D334" s="307">
        <f t="shared" si="145"/>
        <v>7418989</v>
      </c>
      <c r="E334" s="99">
        <f t="shared" si="145"/>
        <v>7631697</v>
      </c>
      <c r="F334" s="36">
        <f t="shared" si="145"/>
        <v>8222919</v>
      </c>
      <c r="G334" s="99">
        <f t="shared" si="145"/>
        <v>7835097</v>
      </c>
      <c r="H334" s="36">
        <f t="shared" si="145"/>
        <v>7829354</v>
      </c>
      <c r="I334" s="99">
        <f t="shared" si="145"/>
        <v>8540442</v>
      </c>
      <c r="J334" s="36">
        <f t="shared" si="145"/>
        <v>9150537</v>
      </c>
      <c r="K334" s="259">
        <f t="shared" si="145"/>
        <v>9490587</v>
      </c>
      <c r="L334" s="249">
        <f t="shared" si="145"/>
        <v>9553923</v>
      </c>
      <c r="M334" s="259">
        <f t="shared" si="145"/>
        <v>10717684</v>
      </c>
      <c r="N334" s="249">
        <f t="shared" si="145"/>
        <v>110733</v>
      </c>
    </row>
    <row r="335" spans="1:14" x14ac:dyDescent="0.2">
      <c r="A335" s="69" t="s">
        <v>57</v>
      </c>
      <c r="B335" s="35">
        <v>130008</v>
      </c>
      <c r="C335" s="98">
        <v>-38459</v>
      </c>
      <c r="D335" s="306">
        <v>181597</v>
      </c>
      <c r="E335" s="98">
        <v>307828</v>
      </c>
      <c r="F335" s="35">
        <v>336822</v>
      </c>
      <c r="G335" s="98">
        <v>520394</v>
      </c>
      <c r="H335" s="32">
        <v>422249</v>
      </c>
      <c r="I335" s="98">
        <v>250150</v>
      </c>
      <c r="J335" s="159">
        <v>611795</v>
      </c>
      <c r="K335" s="262">
        <v>-30148</v>
      </c>
      <c r="L335" s="232">
        <v>255995</v>
      </c>
      <c r="M335" s="262">
        <v>1615702</v>
      </c>
      <c r="N335" s="232"/>
    </row>
    <row r="336" spans="1:14" x14ac:dyDescent="0.2">
      <c r="A336" s="68" t="s">
        <v>84</v>
      </c>
      <c r="B336" s="36">
        <f>SUM(B334:B335)</f>
        <v>7859280</v>
      </c>
      <c r="C336" s="99">
        <f t="shared" ref="C336:J336" si="146">SUM(C334:C335)</f>
        <v>7703176</v>
      </c>
      <c r="D336" s="307">
        <f t="shared" si="146"/>
        <v>7600586</v>
      </c>
      <c r="E336" s="99">
        <f t="shared" si="146"/>
        <v>7939525</v>
      </c>
      <c r="F336" s="36">
        <f t="shared" si="146"/>
        <v>8559741</v>
      </c>
      <c r="G336" s="99">
        <f t="shared" si="146"/>
        <v>8355491</v>
      </c>
      <c r="H336" s="36">
        <f t="shared" si="146"/>
        <v>8251603</v>
      </c>
      <c r="I336" s="99">
        <f t="shared" si="146"/>
        <v>8790592</v>
      </c>
      <c r="J336" s="36">
        <f t="shared" si="146"/>
        <v>9762332</v>
      </c>
      <c r="K336" s="259">
        <f>SUM(K334:K335)</f>
        <v>9460439</v>
      </c>
      <c r="L336" s="249">
        <f>SUM(L334:L335)</f>
        <v>9809918</v>
      </c>
      <c r="M336" s="259">
        <f>SUM(M334:M335)</f>
        <v>12333386</v>
      </c>
      <c r="N336" s="249">
        <f>SUM(N334:N335)</f>
        <v>110733</v>
      </c>
    </row>
    <row r="337" spans="1:15" ht="10.9" customHeight="1" x14ac:dyDescent="0.2">
      <c r="A337" s="132" t="s">
        <v>188</v>
      </c>
      <c r="B337" s="40"/>
      <c r="C337" s="40">
        <f t="shared" ref="C337:J337" si="147">(C336-B336)/B336</f>
        <v>-1.986237925102554E-2</v>
      </c>
      <c r="D337" s="132">
        <f t="shared" si="147"/>
        <v>-1.3317883428861031E-2</v>
      </c>
      <c r="E337" s="40">
        <f t="shared" si="147"/>
        <v>4.4593798425542452E-2</v>
      </c>
      <c r="F337" s="40">
        <f t="shared" si="147"/>
        <v>7.8117519624914589E-2</v>
      </c>
      <c r="G337" s="40">
        <f t="shared" si="147"/>
        <v>-2.3861703292190735E-2</v>
      </c>
      <c r="H337" s="40">
        <f t="shared" si="147"/>
        <v>-1.2433500317336229E-2</v>
      </c>
      <c r="I337" s="40">
        <f t="shared" si="147"/>
        <v>6.5319308260467696E-2</v>
      </c>
      <c r="J337" s="40">
        <f t="shared" si="147"/>
        <v>0.11054318070955858</v>
      </c>
      <c r="K337" s="224">
        <f>(K336-J336)/J336</f>
        <v>-3.0924270963126433E-2</v>
      </c>
      <c r="L337" s="224">
        <f>(L336-K336)/K336</f>
        <v>3.6941097553718175E-2</v>
      </c>
      <c r="M337" s="224">
        <f>(M336-L336)/L336</f>
        <v>0.25723640095666445</v>
      </c>
      <c r="N337" s="224">
        <f>(N336-M336)/M336</f>
        <v>-0.99102168698847182</v>
      </c>
    </row>
    <row r="338" spans="1:15" ht="11.45" customHeight="1" x14ac:dyDescent="0.2">
      <c r="A338" s="88" t="s">
        <v>85</v>
      </c>
      <c r="B338" s="85"/>
      <c r="C338" s="284"/>
      <c r="D338" s="394"/>
      <c r="E338" s="284"/>
      <c r="F338" s="90"/>
      <c r="G338" s="104"/>
      <c r="H338" s="27"/>
      <c r="I338" s="104"/>
      <c r="J338" s="27"/>
      <c r="K338" s="261"/>
      <c r="L338" s="334"/>
      <c r="M338" s="261"/>
      <c r="N338" s="334"/>
    </row>
    <row r="339" spans="1:15" ht="11.45" customHeight="1" x14ac:dyDescent="0.2">
      <c r="A339" s="69" t="s">
        <v>264</v>
      </c>
      <c r="B339" s="85"/>
      <c r="C339" s="284"/>
      <c r="D339" s="394"/>
      <c r="E339" s="284"/>
      <c r="F339" s="90"/>
      <c r="G339" s="104"/>
      <c r="H339" s="27"/>
      <c r="I339" s="104"/>
      <c r="J339" s="27"/>
      <c r="K339" s="261"/>
      <c r="L339" s="328">
        <v>0</v>
      </c>
      <c r="M339" s="371">
        <v>0</v>
      </c>
      <c r="N339" s="328"/>
    </row>
    <row r="340" spans="1:15" ht="11.45" customHeight="1" x14ac:dyDescent="0.2">
      <c r="A340" s="69" t="s">
        <v>62</v>
      </c>
      <c r="B340" s="35">
        <v>1292950</v>
      </c>
      <c r="C340" s="98">
        <v>1425766</v>
      </c>
      <c r="D340" s="306">
        <v>1897270</v>
      </c>
      <c r="E340" s="98">
        <v>1897212</v>
      </c>
      <c r="F340" s="32">
        <v>1497412</v>
      </c>
      <c r="G340" s="98">
        <v>1724262</v>
      </c>
      <c r="H340" s="34">
        <v>2365693</v>
      </c>
      <c r="I340" s="98">
        <v>2564083</v>
      </c>
      <c r="J340" s="159">
        <v>2654030</v>
      </c>
      <c r="K340" s="262">
        <v>2773027</v>
      </c>
      <c r="L340" s="232">
        <v>4175273</v>
      </c>
      <c r="M340" s="262">
        <v>2281453</v>
      </c>
      <c r="N340" s="232"/>
    </row>
    <row r="341" spans="1:15" ht="11.45" customHeight="1" x14ac:dyDescent="0.2">
      <c r="A341" s="69" t="s">
        <v>63</v>
      </c>
      <c r="B341" s="35">
        <v>1687510</v>
      </c>
      <c r="C341" s="98">
        <v>1529801</v>
      </c>
      <c r="D341" s="306">
        <v>2447058</v>
      </c>
      <c r="E341" s="98">
        <v>1123944</v>
      </c>
      <c r="F341" s="32">
        <v>1000914</v>
      </c>
      <c r="G341" s="98">
        <v>1683773</v>
      </c>
      <c r="H341" s="34">
        <v>1632929</v>
      </c>
      <c r="I341" s="98">
        <v>1903560</v>
      </c>
      <c r="J341" s="159">
        <v>1834928</v>
      </c>
      <c r="K341" s="262">
        <v>2024414</v>
      </c>
      <c r="L341" s="232">
        <v>1842736</v>
      </c>
      <c r="M341" s="262">
        <v>2016816</v>
      </c>
      <c r="N341" s="232"/>
    </row>
    <row r="342" spans="1:15" ht="11.45" customHeight="1" x14ac:dyDescent="0.2">
      <c r="A342" s="69" t="s">
        <v>64</v>
      </c>
      <c r="B342" s="35">
        <v>0</v>
      </c>
      <c r="C342" s="98">
        <v>0</v>
      </c>
      <c r="D342" s="306">
        <v>0</v>
      </c>
      <c r="E342" s="98">
        <v>1590050</v>
      </c>
      <c r="F342" s="32">
        <v>1584245</v>
      </c>
      <c r="G342" s="98">
        <v>1159770</v>
      </c>
      <c r="H342" s="34">
        <v>1795073</v>
      </c>
      <c r="I342" s="98">
        <v>3041141</v>
      </c>
      <c r="J342" s="159">
        <v>3182138</v>
      </c>
      <c r="K342" s="262">
        <v>3508002</v>
      </c>
      <c r="L342" s="232">
        <v>3727372</v>
      </c>
      <c r="M342" s="262">
        <v>2586624</v>
      </c>
      <c r="N342" s="232"/>
    </row>
    <row r="343" spans="1:15" ht="11.45" customHeight="1" x14ac:dyDescent="0.2">
      <c r="A343" s="68" t="s">
        <v>86</v>
      </c>
      <c r="B343" s="36">
        <f>SUM(B340:B342)</f>
        <v>2980460</v>
      </c>
      <c r="C343" s="99">
        <f t="shared" ref="C343:K343" si="148">SUM(C340:C342)</f>
        <v>2955567</v>
      </c>
      <c r="D343" s="307">
        <f t="shared" si="148"/>
        <v>4344328</v>
      </c>
      <c r="E343" s="99">
        <f t="shared" si="148"/>
        <v>4611206</v>
      </c>
      <c r="F343" s="36">
        <f t="shared" si="148"/>
        <v>4082571</v>
      </c>
      <c r="G343" s="99">
        <f t="shared" si="148"/>
        <v>4567805</v>
      </c>
      <c r="H343" s="36">
        <f t="shared" si="148"/>
        <v>5793695</v>
      </c>
      <c r="I343" s="99">
        <f t="shared" si="148"/>
        <v>7508784</v>
      </c>
      <c r="J343" s="36">
        <f t="shared" si="148"/>
        <v>7671096</v>
      </c>
      <c r="K343" s="266">
        <f t="shared" si="148"/>
        <v>8305443</v>
      </c>
      <c r="L343" s="235">
        <f>SUM(L339:L342)</f>
        <v>9745381</v>
      </c>
      <c r="M343" s="266">
        <f>SUM(M339:M342)</f>
        <v>6884893</v>
      </c>
      <c r="N343" s="235">
        <f>SUM(N339:N342)</f>
        <v>0</v>
      </c>
    </row>
    <row r="344" spans="1:15" ht="11.45" customHeight="1" x14ac:dyDescent="0.2">
      <c r="A344" s="132" t="s">
        <v>188</v>
      </c>
      <c r="B344" s="40"/>
      <c r="C344" s="40">
        <f t="shared" ref="C344:J344" si="149">(C343-B343)/B343</f>
        <v>-8.352066459539802E-3</v>
      </c>
      <c r="D344" s="132">
        <f t="shared" si="149"/>
        <v>0.46987972189430993</v>
      </c>
      <c r="E344" s="40">
        <f t="shared" si="149"/>
        <v>6.1431365219200763E-2</v>
      </c>
      <c r="F344" s="40">
        <f t="shared" si="149"/>
        <v>-0.11464137581361579</v>
      </c>
      <c r="G344" s="40">
        <f t="shared" si="149"/>
        <v>0.11885500582843507</v>
      </c>
      <c r="H344" s="40">
        <f t="shared" si="149"/>
        <v>0.2683761675465568</v>
      </c>
      <c r="I344" s="40">
        <f t="shared" si="149"/>
        <v>0.29602680154892519</v>
      </c>
      <c r="J344" s="40">
        <f t="shared" si="149"/>
        <v>2.1616283009339463E-2</v>
      </c>
      <c r="K344" s="224">
        <f>(K343-J343)/J343</f>
        <v>8.26931379818477E-2</v>
      </c>
      <c r="L344" s="224">
        <f>(L343-K343)/K343</f>
        <v>0.1733728110589646</v>
      </c>
      <c r="M344" s="224">
        <f>(M343-L343)/L343</f>
        <v>-0.29352243898930169</v>
      </c>
      <c r="N344" s="224">
        <f>(N343-M343)/M343</f>
        <v>-1</v>
      </c>
    </row>
    <row r="345" spans="1:15" ht="11.45" customHeight="1" x14ac:dyDescent="0.2">
      <c r="A345" s="75" t="s">
        <v>87</v>
      </c>
      <c r="B345" s="45">
        <f t="shared" ref="B345:N345" si="150">SUM(B307+B319+B321-B336)</f>
        <v>2980460</v>
      </c>
      <c r="C345" s="45">
        <f t="shared" si="150"/>
        <v>2955566.9656907618</v>
      </c>
      <c r="D345" s="395">
        <f t="shared" si="150"/>
        <v>4344328.2004698776</v>
      </c>
      <c r="E345" s="45">
        <f t="shared" si="150"/>
        <v>4611205.8820172846</v>
      </c>
      <c r="F345" s="45">
        <f t="shared" si="150"/>
        <v>4082570.9804815575</v>
      </c>
      <c r="G345" s="45">
        <f t="shared" si="150"/>
        <v>4567805.1407905184</v>
      </c>
      <c r="H345" s="45">
        <f t="shared" si="150"/>
        <v>5793695.0235546883</v>
      </c>
      <c r="I345" s="110">
        <f t="shared" si="150"/>
        <v>7508782.1110413689</v>
      </c>
      <c r="J345" s="110">
        <f t="shared" si="150"/>
        <v>7671096.9138337187</v>
      </c>
      <c r="K345" s="267">
        <f t="shared" si="150"/>
        <v>8305442</v>
      </c>
      <c r="L345" s="267">
        <f t="shared" si="150"/>
        <v>9745382</v>
      </c>
      <c r="M345" s="267">
        <f t="shared" si="150"/>
        <v>6884893</v>
      </c>
      <c r="N345" s="267">
        <f t="shared" si="150"/>
        <v>-110733</v>
      </c>
      <c r="O345" s="294"/>
    </row>
    <row r="346" spans="1:15" ht="11.45" customHeight="1" x14ac:dyDescent="0.2">
      <c r="A346" s="434" t="s">
        <v>209</v>
      </c>
      <c r="B346" s="435">
        <f>SUM(B343/B336)</f>
        <v>0.37922812267790434</v>
      </c>
      <c r="C346" s="435">
        <f t="shared" ref="C346:K346" si="151">SUM(C343/C336)</f>
        <v>0.38368161392132283</v>
      </c>
      <c r="D346" s="436">
        <f t="shared" si="151"/>
        <v>0.57157803358846282</v>
      </c>
      <c r="E346" s="435">
        <f t="shared" si="151"/>
        <v>0.58079116823739452</v>
      </c>
      <c r="F346" s="435">
        <f t="shared" si="151"/>
        <v>0.47695029557553204</v>
      </c>
      <c r="G346" s="435">
        <f t="shared" si="151"/>
        <v>0.54668301360147475</v>
      </c>
      <c r="H346" s="435">
        <f t="shared" si="151"/>
        <v>0.7021296346903747</v>
      </c>
      <c r="I346" s="435">
        <f t="shared" si="151"/>
        <v>0.85418410955712654</v>
      </c>
      <c r="J346" s="435">
        <f t="shared" si="151"/>
        <v>0.78578519968384608</v>
      </c>
      <c r="K346" s="442">
        <f t="shared" si="151"/>
        <v>0.87791306513365819</v>
      </c>
      <c r="L346" s="442">
        <f t="shared" ref="L346:N346" si="152">SUM(L343/L336)</f>
        <v>0.9934212498004571</v>
      </c>
      <c r="M346" s="442">
        <f t="shared" si="152"/>
        <v>0.55823218376526929</v>
      </c>
      <c r="N346" s="442">
        <f t="shared" si="152"/>
        <v>0</v>
      </c>
    </row>
    <row r="347" spans="1:15" s="433" customFormat="1" ht="6" customHeight="1" x14ac:dyDescent="0.2">
      <c r="A347" s="137"/>
      <c r="B347" s="145"/>
      <c r="C347" s="145"/>
      <c r="D347" s="145"/>
      <c r="E347" s="401"/>
      <c r="F347" s="401"/>
      <c r="G347" s="401"/>
      <c r="H347" s="401"/>
      <c r="I347" s="401"/>
      <c r="J347" s="316"/>
      <c r="K347" s="337"/>
      <c r="L347" s="337"/>
      <c r="M347" s="337"/>
      <c r="N347" s="337"/>
    </row>
    <row r="348" spans="1:15" ht="11.45" customHeight="1" x14ac:dyDescent="0.2">
      <c r="A348" s="133" t="s">
        <v>96</v>
      </c>
      <c r="B348" s="113" t="s">
        <v>116</v>
      </c>
      <c r="C348" s="113" t="s">
        <v>115</v>
      </c>
      <c r="D348" s="114" t="s">
        <v>127</v>
      </c>
      <c r="E348" s="115" t="s">
        <v>113</v>
      </c>
      <c r="F348" s="116" t="s">
        <v>137</v>
      </c>
      <c r="G348" s="115" t="s">
        <v>125</v>
      </c>
      <c r="H348" s="115" t="s">
        <v>124</v>
      </c>
      <c r="I348" s="115" t="s">
        <v>208</v>
      </c>
      <c r="J348" s="115" t="s">
        <v>191</v>
      </c>
      <c r="K348" s="115" t="s">
        <v>243</v>
      </c>
      <c r="L348" s="338" t="str">
        <f>L2</f>
        <v>CY'2016</v>
      </c>
      <c r="M348" s="338" t="str">
        <f>M2</f>
        <v>CY'2017</v>
      </c>
      <c r="N348" s="338" t="str">
        <f>N2</f>
        <v>CY'2018</v>
      </c>
    </row>
    <row r="349" spans="1:15" x14ac:dyDescent="0.2">
      <c r="A349" s="111" t="s">
        <v>97</v>
      </c>
      <c r="B349" s="35">
        <v>2980460</v>
      </c>
      <c r="C349" s="35">
        <v>2955567</v>
      </c>
      <c r="D349" s="306">
        <v>4344328</v>
      </c>
      <c r="E349" s="35">
        <v>4611206</v>
      </c>
      <c r="F349" s="73">
        <v>4082571</v>
      </c>
      <c r="G349" s="118">
        <v>4567805</v>
      </c>
      <c r="H349" s="118">
        <v>5793695</v>
      </c>
      <c r="I349" s="118">
        <v>7508784</v>
      </c>
      <c r="J349" s="118">
        <v>7671096</v>
      </c>
      <c r="K349" s="268">
        <f>K343</f>
        <v>8305443</v>
      </c>
      <c r="L349" s="268">
        <f>L343</f>
        <v>9745381</v>
      </c>
      <c r="M349" s="268">
        <f>M343</f>
        <v>6884893</v>
      </c>
      <c r="N349" s="268">
        <f>N343</f>
        <v>0</v>
      </c>
    </row>
    <row r="350" spans="1:15" x14ac:dyDescent="0.2">
      <c r="A350" s="111" t="s">
        <v>26</v>
      </c>
      <c r="B350" s="35">
        <v>7859280</v>
      </c>
      <c r="C350" s="35">
        <v>7703176</v>
      </c>
      <c r="D350" s="306">
        <v>7600586</v>
      </c>
      <c r="E350" s="35">
        <v>7930294</v>
      </c>
      <c r="F350" s="36">
        <v>8559741</v>
      </c>
      <c r="G350" s="118">
        <v>8355491</v>
      </c>
      <c r="H350" s="118">
        <v>8251603</v>
      </c>
      <c r="I350" s="118">
        <v>8790592</v>
      </c>
      <c r="J350" s="118">
        <v>9762332</v>
      </c>
      <c r="K350" s="234">
        <f>K336</f>
        <v>9460439</v>
      </c>
      <c r="L350" s="234">
        <f>L336</f>
        <v>9809918</v>
      </c>
      <c r="M350" s="234">
        <f>M336</f>
        <v>12333386</v>
      </c>
      <c r="N350" s="234">
        <f>N336</f>
        <v>110733</v>
      </c>
    </row>
    <row r="351" spans="1:15" x14ac:dyDescent="0.2">
      <c r="A351" s="134" t="s">
        <v>210</v>
      </c>
      <c r="B351" s="121">
        <f>SUM(B349/B350)</f>
        <v>0.37922812267790434</v>
      </c>
      <c r="C351" s="121">
        <f t="shared" ref="C351:J351" si="153">SUM(C349/C350)</f>
        <v>0.38368161392132283</v>
      </c>
      <c r="D351" s="396">
        <f t="shared" si="153"/>
        <v>0.57157803358846282</v>
      </c>
      <c r="E351" s="121">
        <f t="shared" si="153"/>
        <v>0.58146721924811362</v>
      </c>
      <c r="F351" s="121">
        <f t="shared" si="153"/>
        <v>0.47695029557553204</v>
      </c>
      <c r="G351" s="121">
        <f t="shared" si="153"/>
        <v>0.54668301360147475</v>
      </c>
      <c r="H351" s="121">
        <f t="shared" si="153"/>
        <v>0.7021296346903747</v>
      </c>
      <c r="I351" s="121">
        <f t="shared" si="153"/>
        <v>0.85418410955712654</v>
      </c>
      <c r="J351" s="121">
        <f t="shared" si="153"/>
        <v>0.78578519968384608</v>
      </c>
      <c r="K351" s="269">
        <f>SUM(K349/K350)</f>
        <v>0.87791306513365819</v>
      </c>
      <c r="L351" s="269">
        <f>SUM(L349/L350)</f>
        <v>0.9934212498004571</v>
      </c>
      <c r="M351" s="269">
        <f>SUM(M349/M350)</f>
        <v>0.55823218376526929</v>
      </c>
      <c r="N351" s="269">
        <f>SUM(N349/N350)</f>
        <v>0</v>
      </c>
    </row>
    <row r="352" spans="1:15" x14ac:dyDescent="0.2">
      <c r="A352" s="111"/>
      <c r="B352" s="112"/>
      <c r="C352" s="112"/>
      <c r="D352" s="111"/>
      <c r="E352" s="112"/>
      <c r="F352" s="112"/>
      <c r="G352" s="112"/>
      <c r="H352" s="112"/>
      <c r="I352" s="112"/>
      <c r="J352" s="112"/>
      <c r="K352" s="248"/>
      <c r="L352" s="248"/>
      <c r="M352" s="248"/>
      <c r="N352" s="248"/>
    </row>
    <row r="353" spans="1:14" x14ac:dyDescent="0.2">
      <c r="A353" s="111" t="s">
        <v>98</v>
      </c>
      <c r="B353" s="118">
        <v>3034837</v>
      </c>
      <c r="C353" s="118">
        <v>3052444</v>
      </c>
      <c r="D353" s="117">
        <v>2966547</v>
      </c>
      <c r="E353" s="118">
        <v>4456744</v>
      </c>
      <c r="F353" s="118">
        <v>4610594</v>
      </c>
      <c r="G353" s="118">
        <v>4101532</v>
      </c>
      <c r="H353" s="118">
        <v>4567752</v>
      </c>
      <c r="I353" s="118">
        <v>5794086</v>
      </c>
      <c r="J353" s="118">
        <v>7497998</v>
      </c>
      <c r="K353" s="234">
        <f>K11</f>
        <v>7716536</v>
      </c>
      <c r="L353" s="234">
        <f>L11</f>
        <v>8302779</v>
      </c>
      <c r="M353" s="234">
        <f>M11</f>
        <v>9740311</v>
      </c>
      <c r="N353" s="234">
        <f>N11</f>
        <v>6884924</v>
      </c>
    </row>
    <row r="354" spans="1:14" x14ac:dyDescent="0.2">
      <c r="A354" s="132" t="s">
        <v>188</v>
      </c>
      <c r="B354" s="40"/>
      <c r="C354" s="40">
        <f t="shared" ref="C354:J354" si="154">(C353-B353)/B353</f>
        <v>5.8016295438601808E-3</v>
      </c>
      <c r="D354" s="132">
        <f t="shared" si="154"/>
        <v>-2.8140401592953057E-2</v>
      </c>
      <c r="E354" s="40">
        <f t="shared" si="154"/>
        <v>0.50233385818596499</v>
      </c>
      <c r="F354" s="40">
        <f t="shared" si="154"/>
        <v>3.4520717366759233E-2</v>
      </c>
      <c r="G354" s="40">
        <f t="shared" si="154"/>
        <v>-0.11041136998833556</v>
      </c>
      <c r="H354" s="40">
        <f t="shared" si="154"/>
        <v>0.11366972146017634</v>
      </c>
      <c r="I354" s="40">
        <f t="shared" si="154"/>
        <v>0.26847648471283031</v>
      </c>
      <c r="J354" s="40">
        <f t="shared" si="154"/>
        <v>0.29407778897310122</v>
      </c>
      <c r="K354" s="224">
        <f>(K353-J353)/J353</f>
        <v>2.9146180087004557E-2</v>
      </c>
      <c r="L354" s="224">
        <f>(L353-K353)/K353</f>
        <v>7.5972301561218661E-2</v>
      </c>
      <c r="M354" s="224">
        <f>(M353-L353)/L353</f>
        <v>0.17313865634626671</v>
      </c>
      <c r="N354" s="224">
        <f>(N353-M353)/M353</f>
        <v>-0.29315152257458721</v>
      </c>
    </row>
    <row r="355" spans="1:14" x14ac:dyDescent="0.2">
      <c r="A355" s="111" t="s">
        <v>99</v>
      </c>
      <c r="B355" s="118">
        <v>7889203</v>
      </c>
      <c r="C355" s="118">
        <v>7550448</v>
      </c>
      <c r="D355" s="117">
        <v>8796847</v>
      </c>
      <c r="E355" s="118">
        <v>8052196</v>
      </c>
      <c r="F355" s="118">
        <v>7696339</v>
      </c>
      <c r="G355" s="118">
        <v>8786321</v>
      </c>
      <c r="H355" s="118">
        <v>9434796</v>
      </c>
      <c r="I355" s="118">
        <v>10366099</v>
      </c>
      <c r="J355" s="118">
        <v>9906268</v>
      </c>
      <c r="K355" s="234">
        <f>K319</f>
        <v>9881583</v>
      </c>
      <c r="L355" s="234">
        <f>L319</f>
        <v>11377939</v>
      </c>
      <c r="M355" s="234">
        <f>M319</f>
        <v>9539318</v>
      </c>
      <c r="N355" s="234">
        <f>N319</f>
        <v>0</v>
      </c>
    </row>
    <row r="356" spans="1:14" x14ac:dyDescent="0.2">
      <c r="A356" s="132" t="s">
        <v>188</v>
      </c>
      <c r="B356" s="40"/>
      <c r="C356" s="40">
        <f t="shared" ref="C356:J356" si="155">(C355-B355)/B355</f>
        <v>-4.2939064947371743E-2</v>
      </c>
      <c r="D356" s="132">
        <f t="shared" si="155"/>
        <v>0.16507616501696323</v>
      </c>
      <c r="E356" s="40">
        <f t="shared" si="155"/>
        <v>-8.4649761442935179E-2</v>
      </c>
      <c r="F356" s="40">
        <f t="shared" si="155"/>
        <v>-4.4193782665002193E-2</v>
      </c>
      <c r="G356" s="40">
        <f t="shared" si="155"/>
        <v>0.14162343940411148</v>
      </c>
      <c r="H356" s="40">
        <f t="shared" si="155"/>
        <v>7.3805065851793944E-2</v>
      </c>
      <c r="I356" s="40">
        <f t="shared" si="155"/>
        <v>9.8709394458555325E-2</v>
      </c>
      <c r="J356" s="40">
        <f t="shared" si="155"/>
        <v>-4.4359117156801221E-2</v>
      </c>
      <c r="K356" s="224">
        <f>(K355-J355)/J355</f>
        <v>-2.491856670948131E-3</v>
      </c>
      <c r="L356" s="224">
        <f>(L355-K355)/K355</f>
        <v>0.15142877411443087</v>
      </c>
      <c r="M356" s="224">
        <f>(M355-L355)/L355</f>
        <v>-0.16159525903592908</v>
      </c>
      <c r="N356" s="224">
        <f>(N355-M355)/M355</f>
        <v>-1</v>
      </c>
    </row>
    <row r="357" spans="1:14" x14ac:dyDescent="0.2">
      <c r="A357" s="111" t="s">
        <v>100</v>
      </c>
      <c r="B357" s="118"/>
      <c r="C357" s="118">
        <f>(C353+C355)</f>
        <v>10602892</v>
      </c>
      <c r="D357" s="117">
        <f t="shared" ref="D357:K357" si="156">(D353+D355)</f>
        <v>11763394</v>
      </c>
      <c r="E357" s="118">
        <f t="shared" si="156"/>
        <v>12508940</v>
      </c>
      <c r="F357" s="118">
        <f t="shared" si="156"/>
        <v>12306933</v>
      </c>
      <c r="G357" s="118">
        <f t="shared" si="156"/>
        <v>12887853</v>
      </c>
      <c r="H357" s="118">
        <f t="shared" si="156"/>
        <v>14002548</v>
      </c>
      <c r="I357" s="118">
        <f t="shared" si="156"/>
        <v>16160185</v>
      </c>
      <c r="J357" s="118">
        <f>(J353+J355)</f>
        <v>17404266</v>
      </c>
      <c r="K357" s="270">
        <f t="shared" si="156"/>
        <v>17598119</v>
      </c>
      <c r="L357" s="270">
        <f t="shared" ref="L357:N357" si="157">(L353+L355)</f>
        <v>19680718</v>
      </c>
      <c r="M357" s="270">
        <f t="shared" si="157"/>
        <v>19279629</v>
      </c>
      <c r="N357" s="270">
        <f t="shared" si="157"/>
        <v>6884924</v>
      </c>
    </row>
    <row r="358" spans="1:14" x14ac:dyDescent="0.2">
      <c r="A358" s="132" t="s">
        <v>188</v>
      </c>
      <c r="B358" s="40"/>
      <c r="C358" s="40"/>
      <c r="D358" s="132">
        <f t="shared" ref="D358:J358" si="158">(D357-C357)/C357</f>
        <v>0.10945145909248157</v>
      </c>
      <c r="E358" s="40">
        <f t="shared" si="158"/>
        <v>6.3378477334007519E-2</v>
      </c>
      <c r="F358" s="40">
        <f t="shared" si="158"/>
        <v>-1.6149010227885018E-2</v>
      </c>
      <c r="G358" s="40">
        <f t="shared" si="158"/>
        <v>4.7202662109235502E-2</v>
      </c>
      <c r="H358" s="40">
        <f t="shared" si="158"/>
        <v>8.6491908310872265E-2</v>
      </c>
      <c r="I358" s="40">
        <f t="shared" si="158"/>
        <v>0.15408888439446877</v>
      </c>
      <c r="J358" s="40">
        <f t="shared" si="158"/>
        <v>7.6984329077915872E-2</v>
      </c>
      <c r="K358" s="224">
        <f>(K357-J357)/J357</f>
        <v>1.1138246220782881E-2</v>
      </c>
      <c r="L358" s="224">
        <f>(L357-K357)/K357</f>
        <v>0.11834213645219696</v>
      </c>
      <c r="M358" s="224">
        <f>(M357-L357)/L357</f>
        <v>-2.0379795086744295E-2</v>
      </c>
      <c r="N358" s="224">
        <f>(N357-M357)/M357</f>
        <v>-0.64289126102997107</v>
      </c>
    </row>
    <row r="359" spans="1:14" x14ac:dyDescent="0.2">
      <c r="A359" s="111" t="s">
        <v>97</v>
      </c>
      <c r="B359" s="118">
        <v>2980460</v>
      </c>
      <c r="C359" s="118">
        <v>2955567</v>
      </c>
      <c r="D359" s="117">
        <v>4344328</v>
      </c>
      <c r="E359" s="118">
        <v>4611206</v>
      </c>
      <c r="F359" s="118">
        <v>4082571</v>
      </c>
      <c r="G359" s="118">
        <v>4567805</v>
      </c>
      <c r="H359" s="118">
        <v>5793695</v>
      </c>
      <c r="I359" s="118">
        <v>7508784</v>
      </c>
      <c r="J359" s="118">
        <v>7671096</v>
      </c>
      <c r="K359" s="268">
        <f>K349</f>
        <v>8305443</v>
      </c>
      <c r="L359" s="268">
        <f>L349</f>
        <v>9745381</v>
      </c>
      <c r="M359" s="268">
        <f>M349</f>
        <v>6884893</v>
      </c>
      <c r="N359" s="268">
        <f>N349</f>
        <v>0</v>
      </c>
    </row>
    <row r="360" spans="1:14" x14ac:dyDescent="0.2">
      <c r="A360" s="132" t="s">
        <v>188</v>
      </c>
      <c r="B360" s="40"/>
      <c r="C360" s="40">
        <f t="shared" ref="C360:J360" si="159">(C359-B359)/B359</f>
        <v>-8.352066459539802E-3</v>
      </c>
      <c r="D360" s="132">
        <f t="shared" si="159"/>
        <v>0.46987972189430993</v>
      </c>
      <c r="E360" s="40">
        <f t="shared" si="159"/>
        <v>6.1431365219200763E-2</v>
      </c>
      <c r="F360" s="40">
        <f t="shared" si="159"/>
        <v>-0.11464137581361579</v>
      </c>
      <c r="G360" s="40">
        <f t="shared" si="159"/>
        <v>0.11885500582843507</v>
      </c>
      <c r="H360" s="40">
        <f t="shared" si="159"/>
        <v>0.2683761675465568</v>
      </c>
      <c r="I360" s="40">
        <f t="shared" si="159"/>
        <v>0.29602680154892519</v>
      </c>
      <c r="J360" s="40">
        <f t="shared" si="159"/>
        <v>2.1616283009339463E-2</v>
      </c>
      <c r="K360" s="224">
        <f>(K359-J359)/J359</f>
        <v>8.26931379818477E-2</v>
      </c>
      <c r="L360" s="224">
        <f>(L359-K359)/K359</f>
        <v>0.1733728110589646</v>
      </c>
      <c r="M360" s="224">
        <f>(M359-L359)/L359</f>
        <v>-0.29352243898930169</v>
      </c>
      <c r="N360" s="224">
        <f>(N359-M359)/M359</f>
        <v>-1</v>
      </c>
    </row>
    <row r="361" spans="1:14" x14ac:dyDescent="0.2">
      <c r="A361" s="111" t="s">
        <v>211</v>
      </c>
      <c r="B361" s="92"/>
      <c r="C361" s="92">
        <f t="shared" ref="C361:K361" si="160">SUM(C359/C357)</f>
        <v>0.27875102377728644</v>
      </c>
      <c r="D361" s="397">
        <f t="shared" si="160"/>
        <v>0.369309061653465</v>
      </c>
      <c r="E361" s="92">
        <f t="shared" si="160"/>
        <v>0.36863283379726819</v>
      </c>
      <c r="F361" s="92">
        <f t="shared" si="160"/>
        <v>0.33172935937816511</v>
      </c>
      <c r="G361" s="92">
        <f t="shared" si="160"/>
        <v>0.354427149347529</v>
      </c>
      <c r="H361" s="92">
        <f t="shared" si="160"/>
        <v>0.41376005281324513</v>
      </c>
      <c r="I361" s="92">
        <f t="shared" si="160"/>
        <v>0.46464715595768241</v>
      </c>
      <c r="J361" s="92">
        <f>SUM(J359/J357)</f>
        <v>0.44075952413046321</v>
      </c>
      <c r="K361" s="271">
        <f t="shared" si="160"/>
        <v>0.47195061017600803</v>
      </c>
      <c r="L361" s="271">
        <f t="shared" ref="L361:N361" si="161">SUM(L359/L357)</f>
        <v>0.49517405818222687</v>
      </c>
      <c r="M361" s="271">
        <f t="shared" si="161"/>
        <v>0.35710713105527081</v>
      </c>
      <c r="N361" s="271">
        <f t="shared" si="161"/>
        <v>0</v>
      </c>
    </row>
    <row r="362" spans="1:14" x14ac:dyDescent="0.2">
      <c r="A362" s="111"/>
      <c r="B362" s="112"/>
      <c r="C362" s="112"/>
      <c r="D362" s="111"/>
      <c r="E362" s="112"/>
      <c r="F362" s="112"/>
      <c r="G362" s="112"/>
      <c r="H362" s="112"/>
      <c r="I362" s="112"/>
      <c r="J362" s="112"/>
      <c r="K362" s="248"/>
      <c r="L362" s="248"/>
      <c r="M362" s="248"/>
      <c r="N362" s="248"/>
    </row>
    <row r="363" spans="1:14" x14ac:dyDescent="0.2">
      <c r="A363" s="111" t="s">
        <v>101</v>
      </c>
      <c r="B363" s="118">
        <v>10924040</v>
      </c>
      <c r="C363" s="118">
        <v>10602892</v>
      </c>
      <c r="D363" s="117">
        <v>11763394</v>
      </c>
      <c r="E363" s="118">
        <v>12508940</v>
      </c>
      <c r="F363" s="118">
        <v>12306933</v>
      </c>
      <c r="G363" s="118">
        <v>12887853</v>
      </c>
      <c r="H363" s="118">
        <v>14002548</v>
      </c>
      <c r="I363" s="118">
        <v>16160185</v>
      </c>
      <c r="J363" s="118">
        <v>17404266</v>
      </c>
      <c r="K363" s="234">
        <f>K357</f>
        <v>17598119</v>
      </c>
      <c r="L363" s="234">
        <f>L357</f>
        <v>19680718</v>
      </c>
      <c r="M363" s="234">
        <f>M357</f>
        <v>19279629</v>
      </c>
      <c r="N363" s="234">
        <f>N357</f>
        <v>6884924</v>
      </c>
    </row>
    <row r="364" spans="1:14" x14ac:dyDescent="0.2">
      <c r="A364" s="132" t="s">
        <v>188</v>
      </c>
      <c r="B364" s="40"/>
      <c r="C364" s="40">
        <f t="shared" ref="C364:J364" si="162">(C363-B363)/B363</f>
        <v>-2.93982812219655E-2</v>
      </c>
      <c r="D364" s="132">
        <f t="shared" si="162"/>
        <v>0.10945145909248157</v>
      </c>
      <c r="E364" s="40">
        <f t="shared" si="162"/>
        <v>6.3378477334007519E-2</v>
      </c>
      <c r="F364" s="40">
        <f t="shared" si="162"/>
        <v>-1.6149010227885018E-2</v>
      </c>
      <c r="G364" s="40">
        <f t="shared" si="162"/>
        <v>4.7202662109235502E-2</v>
      </c>
      <c r="H364" s="40">
        <f t="shared" si="162"/>
        <v>8.6491908310872265E-2</v>
      </c>
      <c r="I364" s="40">
        <f t="shared" si="162"/>
        <v>0.15408888439446877</v>
      </c>
      <c r="J364" s="40">
        <f t="shared" si="162"/>
        <v>7.6984329077915872E-2</v>
      </c>
      <c r="K364" s="224">
        <f>(K363-J363)/J363</f>
        <v>1.1138246220782881E-2</v>
      </c>
      <c r="L364" s="224">
        <f>(L363-K363)/K363</f>
        <v>0.11834213645219696</v>
      </c>
      <c r="M364" s="224">
        <f>(M363-L363)/L363</f>
        <v>-2.0379795086744295E-2</v>
      </c>
      <c r="N364" s="224">
        <f>(N363-M363)/M363</f>
        <v>-0.64289126102997107</v>
      </c>
    </row>
    <row r="365" spans="1:14" x14ac:dyDescent="0.2">
      <c r="A365" s="111" t="s">
        <v>102</v>
      </c>
      <c r="B365" s="35">
        <v>7859280</v>
      </c>
      <c r="C365" s="35">
        <v>7703176</v>
      </c>
      <c r="D365" s="306">
        <v>7600586</v>
      </c>
      <c r="E365" s="35">
        <v>7930294</v>
      </c>
      <c r="F365" s="36">
        <v>8559741</v>
      </c>
      <c r="G365" s="118">
        <v>8355491</v>
      </c>
      <c r="H365" s="118">
        <v>8251603</v>
      </c>
      <c r="I365" s="118">
        <v>8790592</v>
      </c>
      <c r="J365" s="118">
        <v>9762332</v>
      </c>
      <c r="K365" s="268">
        <f>K350</f>
        <v>9460439</v>
      </c>
      <c r="L365" s="268">
        <f>L350</f>
        <v>9809918</v>
      </c>
      <c r="M365" s="268">
        <f>M350</f>
        <v>12333386</v>
      </c>
      <c r="N365" s="268">
        <f>N350</f>
        <v>110733</v>
      </c>
    </row>
    <row r="366" spans="1:14" x14ac:dyDescent="0.2">
      <c r="A366" s="111" t="s">
        <v>103</v>
      </c>
      <c r="B366" s="92">
        <f>SUM(B365/B363)</f>
        <v>0.71944811626467864</v>
      </c>
      <c r="C366" s="92">
        <f t="shared" ref="C366:J366" si="163">SUM(C365/C363)</f>
        <v>0.72651650134699097</v>
      </c>
      <c r="D366" s="397">
        <f t="shared" si="163"/>
        <v>0.6461218590485025</v>
      </c>
      <c r="E366" s="92">
        <f t="shared" si="163"/>
        <v>0.63397010458120351</v>
      </c>
      <c r="F366" s="92">
        <f t="shared" si="163"/>
        <v>0.69552186560209595</v>
      </c>
      <c r="G366" s="92">
        <f t="shared" si="163"/>
        <v>0.64832295961165909</v>
      </c>
      <c r="H366" s="92">
        <f t="shared" si="163"/>
        <v>0.58929296296645439</v>
      </c>
      <c r="I366" s="92">
        <f t="shared" si="163"/>
        <v>0.54396604989361197</v>
      </c>
      <c r="J366" s="92">
        <f t="shared" si="163"/>
        <v>0.56091604207841916</v>
      </c>
      <c r="K366" s="272">
        <f>SUM(K365/K363)</f>
        <v>0.5375823973005297</v>
      </c>
      <c r="L366" s="272">
        <f>SUM(L365/L363)</f>
        <v>0.49845325765045767</v>
      </c>
      <c r="M366" s="272">
        <f>SUM(M365/M363)</f>
        <v>0.63971075377021003</v>
      </c>
      <c r="N366" s="272">
        <f>SUM(N365/N363)</f>
        <v>1.6083401937334384E-2</v>
      </c>
    </row>
    <row r="367" spans="1:14" x14ac:dyDescent="0.2">
      <c r="A367" s="111"/>
      <c r="B367" s="112"/>
      <c r="C367" s="112"/>
      <c r="D367" s="111"/>
      <c r="E367" s="112"/>
      <c r="F367" s="112"/>
      <c r="G367" s="112"/>
      <c r="H367" s="112"/>
      <c r="I367" s="112"/>
      <c r="J367" s="112"/>
      <c r="K367" s="248"/>
      <c r="L367" s="248"/>
      <c r="M367" s="248"/>
      <c r="N367" s="248"/>
    </row>
    <row r="368" spans="1:14" x14ac:dyDescent="0.2">
      <c r="A368" s="111" t="s">
        <v>104</v>
      </c>
      <c r="B368" s="118">
        <v>3097840</v>
      </c>
      <c r="C368" s="118">
        <v>3119608</v>
      </c>
      <c r="D368" s="117">
        <v>3155374</v>
      </c>
      <c r="E368" s="118">
        <v>3082846</v>
      </c>
      <c r="F368" s="118">
        <v>3421488</v>
      </c>
      <c r="G368" s="118">
        <v>3499966</v>
      </c>
      <c r="H368" s="118">
        <v>3462016</v>
      </c>
      <c r="I368" s="118">
        <v>3500902</v>
      </c>
      <c r="J368" s="118">
        <f>J40</f>
        <v>3927458</v>
      </c>
      <c r="K368" s="234">
        <f>K40</f>
        <v>3843658</v>
      </c>
      <c r="L368" s="234">
        <f>L40</f>
        <v>3913002</v>
      </c>
      <c r="M368" s="234">
        <f>M40</f>
        <v>4237564</v>
      </c>
      <c r="N368" s="234">
        <f>N40</f>
        <v>4656759</v>
      </c>
    </row>
    <row r="369" spans="1:14" x14ac:dyDescent="0.2">
      <c r="A369" s="135" t="s">
        <v>105</v>
      </c>
      <c r="B369" s="136"/>
      <c r="C369" s="136"/>
      <c r="D369" s="398"/>
      <c r="E369" s="136">
        <f t="shared" ref="E369:I369" si="164">AVERAGE(D368,C368,B368)*105%</f>
        <v>3280487.7</v>
      </c>
      <c r="F369" s="136">
        <f t="shared" si="164"/>
        <v>3275239.8000000003</v>
      </c>
      <c r="G369" s="136">
        <f t="shared" si="164"/>
        <v>3380897.8</v>
      </c>
      <c r="H369" s="136">
        <f t="shared" si="164"/>
        <v>3501505</v>
      </c>
      <c r="I369" s="136">
        <f t="shared" si="164"/>
        <v>3634214.5</v>
      </c>
      <c r="J369" s="136">
        <f>AVERAGE(I368,H368,G368)*105%</f>
        <v>3662009.4000000004</v>
      </c>
      <c r="K369" s="273">
        <f>AVERAGE(J368,I368,H368)*105%</f>
        <v>3811631.6</v>
      </c>
      <c r="L369" s="273">
        <f>AVERAGE(K368,J368,I368)*105%</f>
        <v>3945206.3000000003</v>
      </c>
      <c r="M369" s="273">
        <f>AVERAGE(L368,K368,J368)*105%</f>
        <v>4089441.3000000003</v>
      </c>
      <c r="N369" s="273">
        <f>AVERAGE(M368,L368,K368)*105%</f>
        <v>4197978.4000000004</v>
      </c>
    </row>
  </sheetData>
  <printOptions horizontalCentered="1" verticalCentered="1"/>
  <pageMargins left="0.2" right="0.21" top="0.37" bottom="0.2" header="0.2" footer="0.2"/>
  <pageSetup scale="71" fitToHeight="0" orientation="landscape" r:id="rId1"/>
  <headerFooter>
    <oddHeader>&amp;LCMC Cycle Report 10-Year Comparison</oddHeader>
  </headerFooter>
  <rowBreaks count="7" manualBreakCount="7">
    <brk id="49" max="13" man="1"/>
    <brk id="98" max="16383" man="1"/>
    <brk id="148" max="16383" man="1"/>
    <brk id="197" max="16383" man="1"/>
    <brk id="247" max="16383" man="1"/>
    <brk id="296" max="16383" man="1"/>
    <brk id="34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tabColor rgb="FFFF0000"/>
  </sheetPr>
  <dimension ref="A1:F27"/>
  <sheetViews>
    <sheetView zoomScaleNormal="100" workbookViewId="0">
      <selection activeCell="D2" sqref="D2"/>
    </sheetView>
  </sheetViews>
  <sheetFormatPr defaultColWidth="8.7109375" defaultRowHeight="15" x14ac:dyDescent="0.25"/>
  <cols>
    <col min="1" max="1" width="43.140625" style="455" customWidth="1"/>
    <col min="2" max="2" width="5.140625" style="455" bestFit="1" customWidth="1"/>
    <col min="3" max="3" width="20.42578125" style="455" bestFit="1" customWidth="1"/>
    <col min="4" max="4" width="50.5703125" style="679" bestFit="1" customWidth="1"/>
    <col min="5" max="6" width="24.140625" style="457" customWidth="1"/>
    <col min="7" max="16384" width="8.7109375" style="455"/>
  </cols>
  <sheetData>
    <row r="1" spans="1:6" ht="21" thickBot="1" x14ac:dyDescent="0.35">
      <c r="A1" s="848" t="s">
        <v>375</v>
      </c>
      <c r="B1" s="849"/>
      <c r="C1" s="850"/>
      <c r="D1" s="644" t="s">
        <v>315</v>
      </c>
      <c r="E1" s="458"/>
      <c r="F1" s="458"/>
    </row>
    <row r="2" spans="1:6" ht="16.5" thickBot="1" x14ac:dyDescent="0.3">
      <c r="A2" s="851" t="s">
        <v>174</v>
      </c>
      <c r="B2" s="852"/>
      <c r="C2" s="853"/>
      <c r="D2" s="645"/>
      <c r="E2" s="645"/>
      <c r="F2" s="645"/>
    </row>
    <row r="3" spans="1:6" ht="53.45" customHeight="1" thickBot="1" x14ac:dyDescent="0.3">
      <c r="A3" s="854" t="s">
        <v>182</v>
      </c>
      <c r="B3" s="855"/>
      <c r="C3" s="856"/>
      <c r="D3" s="646"/>
      <c r="E3" s="646"/>
      <c r="F3" s="646"/>
    </row>
    <row r="4" spans="1:6" ht="15.75" thickBot="1" x14ac:dyDescent="0.3">
      <c r="A4" s="647"/>
      <c r="B4" s="643"/>
      <c r="C4" s="648" t="s">
        <v>269</v>
      </c>
      <c r="D4" s="649"/>
      <c r="E4" s="649"/>
      <c r="F4" s="649"/>
    </row>
    <row r="5" spans="1:6" ht="39.950000000000003" customHeight="1" thickBot="1" x14ac:dyDescent="0.3">
      <c r="A5" s="650" t="s">
        <v>309</v>
      </c>
      <c r="B5" s="651" t="s">
        <v>175</v>
      </c>
      <c r="C5" s="652">
        <f>'Marketing Policy'!E7</f>
        <v>5562</v>
      </c>
      <c r="D5" s="653"/>
      <c r="E5" s="653"/>
      <c r="F5" s="653"/>
    </row>
    <row r="6" spans="1:6" ht="20.100000000000001" customHeight="1" thickBot="1" x14ac:dyDescent="0.3">
      <c r="A6" s="654"/>
      <c r="B6" s="655"/>
      <c r="C6" s="656"/>
      <c r="D6" s="657"/>
      <c r="E6" s="657"/>
      <c r="F6" s="657"/>
    </row>
    <row r="7" spans="1:6" ht="39.950000000000003" customHeight="1" thickBot="1" x14ac:dyDescent="0.3">
      <c r="A7" s="650" t="s">
        <v>310</v>
      </c>
      <c r="B7" s="651" t="s">
        <v>175</v>
      </c>
      <c r="C7" s="658">
        <f>'Marketing Policy'!E9</f>
        <v>8834</v>
      </c>
      <c r="D7" s="659"/>
      <c r="E7" s="659"/>
      <c r="F7" s="659"/>
    </row>
    <row r="8" spans="1:6" ht="20.100000000000001" customHeight="1" thickBot="1" x14ac:dyDescent="0.3">
      <c r="A8" s="660"/>
      <c r="B8" s="655"/>
      <c r="C8" s="661"/>
      <c r="D8" s="643"/>
      <c r="E8" s="643"/>
      <c r="F8" s="643"/>
    </row>
    <row r="9" spans="1:6" ht="39.950000000000003" customHeight="1" thickBot="1" x14ac:dyDescent="0.3">
      <c r="A9" s="650" t="s">
        <v>311</v>
      </c>
      <c r="B9" s="651" t="s">
        <v>175</v>
      </c>
      <c r="C9" s="658">
        <f>'Marketing Policy'!E10</f>
        <v>1765</v>
      </c>
      <c r="D9" s="659"/>
      <c r="E9" s="659"/>
      <c r="F9" s="659"/>
    </row>
    <row r="10" spans="1:6" ht="20.100000000000001" customHeight="1" thickBot="1" x14ac:dyDescent="0.3">
      <c r="A10" s="660"/>
      <c r="B10" s="655"/>
      <c r="C10" s="661"/>
      <c r="D10" s="643"/>
      <c r="E10" s="643"/>
      <c r="F10" s="643"/>
    </row>
    <row r="11" spans="1:6" ht="39.950000000000003" customHeight="1" thickBot="1" x14ac:dyDescent="0.3">
      <c r="A11" s="650" t="s">
        <v>312</v>
      </c>
      <c r="B11" s="651" t="s">
        <v>175</v>
      </c>
      <c r="C11" s="662">
        <f>'Marketing Policy'!E12</f>
        <v>16162</v>
      </c>
      <c r="D11" s="663"/>
      <c r="E11" s="663"/>
      <c r="F11" s="663"/>
    </row>
    <row r="12" spans="1:6" ht="20.100000000000001" customHeight="1" thickBot="1" x14ac:dyDescent="0.3">
      <c r="A12" s="660"/>
      <c r="B12" s="655"/>
      <c r="C12" s="661"/>
      <c r="D12" s="643"/>
      <c r="E12" s="643"/>
      <c r="F12" s="643"/>
    </row>
    <row r="13" spans="1:6" ht="39.950000000000003" customHeight="1" thickBot="1" x14ac:dyDescent="0.3">
      <c r="A13" s="650" t="s">
        <v>313</v>
      </c>
      <c r="B13" s="651" t="s">
        <v>175</v>
      </c>
      <c r="C13" s="652">
        <f>'Marketing Policy'!E21</f>
        <v>10340</v>
      </c>
      <c r="D13" s="653"/>
      <c r="E13" s="653"/>
      <c r="F13" s="653"/>
    </row>
    <row r="14" spans="1:6" ht="20.100000000000001" customHeight="1" thickBot="1" x14ac:dyDescent="0.3">
      <c r="A14" s="660"/>
      <c r="B14" s="655"/>
      <c r="C14" s="661"/>
      <c r="D14" s="643"/>
      <c r="E14" s="643"/>
      <c r="F14" s="643"/>
    </row>
    <row r="15" spans="1:6" ht="39.950000000000003" customHeight="1" thickBot="1" x14ac:dyDescent="0.3">
      <c r="A15" s="650" t="s">
        <v>316</v>
      </c>
      <c r="B15" s="651" t="s">
        <v>175</v>
      </c>
      <c r="C15" s="662">
        <f>'Marketing Policy'!E22</f>
        <v>5287</v>
      </c>
      <c r="D15" s="663"/>
      <c r="E15" s="663"/>
      <c r="F15" s="663"/>
    </row>
    <row r="16" spans="1:6" ht="20.100000000000001" customHeight="1" thickBot="1" x14ac:dyDescent="0.3">
      <c r="A16" s="660"/>
      <c r="B16" s="655"/>
      <c r="C16" s="661"/>
      <c r="D16" s="643"/>
      <c r="E16" s="643"/>
      <c r="F16" s="643"/>
    </row>
    <row r="17" spans="1:6" ht="39.950000000000003" customHeight="1" thickBot="1" x14ac:dyDescent="0.3">
      <c r="A17" s="650" t="s">
        <v>317</v>
      </c>
      <c r="B17" s="651" t="s">
        <v>175</v>
      </c>
      <c r="C17" s="664">
        <v>7000</v>
      </c>
      <c r="D17" s="663" t="s">
        <v>330</v>
      </c>
      <c r="E17" s="663"/>
      <c r="F17" s="663"/>
    </row>
    <row r="18" spans="1:6" ht="20.100000000000001" customHeight="1" thickBot="1" x14ac:dyDescent="0.3">
      <c r="A18" s="665"/>
      <c r="B18" s="655"/>
      <c r="C18" s="666"/>
      <c r="D18" s="667"/>
      <c r="E18" s="667"/>
      <c r="F18" s="667"/>
    </row>
    <row r="19" spans="1:6" ht="39.950000000000003" customHeight="1" thickBot="1" x14ac:dyDescent="0.3">
      <c r="A19" s="650" t="s">
        <v>318</v>
      </c>
      <c r="B19" s="668" t="s">
        <v>175</v>
      </c>
      <c r="C19" s="669">
        <f>SUM(C17-C15)</f>
        <v>1713</v>
      </c>
      <c r="D19" s="670"/>
      <c r="E19" s="670"/>
      <c r="F19" s="670"/>
    </row>
    <row r="20" spans="1:6" ht="20.100000000000001" customHeight="1" thickBot="1" x14ac:dyDescent="0.3">
      <c r="A20" s="665"/>
      <c r="B20" s="655"/>
      <c r="C20" s="666"/>
      <c r="D20" s="667"/>
      <c r="E20" s="667"/>
      <c r="F20" s="667"/>
    </row>
    <row r="21" spans="1:6" ht="39.950000000000003" customHeight="1" thickBot="1" x14ac:dyDescent="0.3">
      <c r="A21" s="650" t="s">
        <v>270</v>
      </c>
      <c r="B21" s="668" t="s">
        <v>175</v>
      </c>
      <c r="C21" s="669">
        <f>SUM(C13+C17)</f>
        <v>17340</v>
      </c>
      <c r="D21" s="670"/>
      <c r="E21" s="670"/>
      <c r="F21" s="670"/>
    </row>
    <row r="22" spans="1:6" ht="20.100000000000001" customHeight="1" thickBot="1" x14ac:dyDescent="0.3">
      <c r="A22" s="671" t="s">
        <v>20</v>
      </c>
      <c r="B22" s="655"/>
      <c r="C22" s="661"/>
      <c r="D22" s="643"/>
      <c r="E22" s="643"/>
      <c r="F22" s="643"/>
    </row>
    <row r="23" spans="1:6" ht="39.950000000000003" customHeight="1" thickBot="1" x14ac:dyDescent="0.3">
      <c r="A23" s="650" t="s">
        <v>314</v>
      </c>
      <c r="B23" s="668" t="s">
        <v>175</v>
      </c>
      <c r="C23" s="669">
        <f>SUM(C7+C19)</f>
        <v>10547</v>
      </c>
      <c r="D23" s="670"/>
      <c r="E23" s="670"/>
      <c r="F23" s="670"/>
    </row>
    <row r="24" spans="1:6" ht="20.100000000000001" customHeight="1" thickBot="1" x14ac:dyDescent="0.3">
      <c r="A24" s="671"/>
      <c r="B24" s="655"/>
      <c r="C24" s="661"/>
      <c r="D24" s="643"/>
      <c r="E24" s="643"/>
      <c r="F24" s="643"/>
    </row>
    <row r="25" spans="1:6" ht="39.950000000000003" customHeight="1" thickBot="1" x14ac:dyDescent="0.3">
      <c r="A25" s="650" t="s">
        <v>277</v>
      </c>
      <c r="B25" s="668" t="s">
        <v>175</v>
      </c>
      <c r="C25" s="652">
        <v>9750</v>
      </c>
      <c r="D25" s="653"/>
      <c r="E25" s="653"/>
      <c r="F25" s="653"/>
    </row>
    <row r="26" spans="1:6" ht="20.100000000000001" customHeight="1" thickBot="1" x14ac:dyDescent="0.3">
      <c r="A26" s="672"/>
      <c r="B26" s="673"/>
      <c r="C26" s="674"/>
      <c r="D26" s="643"/>
      <c r="E26" s="643"/>
      <c r="F26" s="643"/>
    </row>
    <row r="27" spans="1:6" ht="39.950000000000003" customHeight="1" x14ac:dyDescent="0.25">
      <c r="A27" s="675" t="s">
        <v>176</v>
      </c>
      <c r="B27" s="676" t="s">
        <v>175</v>
      </c>
      <c r="C27" s="677">
        <f>SUM(C23/C25)</f>
        <v>1.0817435897435896</v>
      </c>
      <c r="D27" s="678"/>
      <c r="E27" s="678"/>
      <c r="F27" s="678"/>
    </row>
  </sheetData>
  <mergeCells count="3">
    <mergeCell ref="A1:C1"/>
    <mergeCell ref="A2:C2"/>
    <mergeCell ref="A3:C3"/>
  </mergeCells>
  <printOptions horizontalCentered="1" verticalCentered="1"/>
  <pageMargins left="0.7" right="0.7" top="0.75" bottom="0.75" header="0.3" footer="0.3"/>
  <pageSetup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I12"/>
  <sheetViews>
    <sheetView zoomScale="81" zoomScaleNormal="81" workbookViewId="0">
      <selection activeCell="D16" sqref="D16"/>
    </sheetView>
  </sheetViews>
  <sheetFormatPr defaultColWidth="9.140625" defaultRowHeight="14.25" x14ac:dyDescent="0.2"/>
  <cols>
    <col min="1" max="1" width="49.7109375" style="692" customWidth="1"/>
    <col min="2" max="2" width="13.5703125" style="692" customWidth="1"/>
    <col min="3" max="3" width="53.42578125" style="633" customWidth="1"/>
    <col min="4" max="4" width="31.28515625" style="633" customWidth="1"/>
    <col min="5" max="5" width="24.28515625" style="633" customWidth="1"/>
    <col min="6" max="8" width="9.140625" style="633"/>
    <col min="9" max="9" width="11" style="633" customWidth="1"/>
    <col min="10" max="16384" width="9.140625" style="633"/>
  </cols>
  <sheetData>
    <row r="1" spans="1:9" ht="39.950000000000003" customHeight="1" x14ac:dyDescent="0.2">
      <c r="A1" s="693" t="s">
        <v>309</v>
      </c>
      <c r="B1" s="857" t="s">
        <v>275</v>
      </c>
      <c r="C1" s="680"/>
      <c r="D1" s="681"/>
      <c r="E1" s="681"/>
      <c r="F1" s="681"/>
      <c r="G1" s="681"/>
      <c r="H1" s="681"/>
      <c r="I1" s="681"/>
    </row>
    <row r="2" spans="1:9" ht="39.950000000000003" customHeight="1" x14ac:dyDescent="0.2">
      <c r="A2" s="693" t="s">
        <v>310</v>
      </c>
      <c r="B2" s="857"/>
      <c r="C2" s="680"/>
      <c r="D2" s="681"/>
      <c r="E2" s="681"/>
      <c r="F2" s="681"/>
      <c r="G2" s="681"/>
      <c r="H2" s="681"/>
      <c r="I2" s="681"/>
    </row>
    <row r="3" spans="1:9" ht="39.950000000000003" customHeight="1" x14ac:dyDescent="0.2">
      <c r="A3" s="693" t="s">
        <v>311</v>
      </c>
      <c r="B3" s="857"/>
      <c r="C3" s="680"/>
      <c r="D3" s="681"/>
      <c r="E3" s="681"/>
      <c r="F3" s="681"/>
      <c r="G3" s="681"/>
      <c r="H3" s="681"/>
      <c r="I3" s="681"/>
    </row>
    <row r="4" spans="1:9" ht="39.950000000000003" customHeight="1" x14ac:dyDescent="0.2">
      <c r="A4" s="693" t="s">
        <v>312</v>
      </c>
      <c r="B4" s="857"/>
      <c r="C4" s="680"/>
      <c r="D4" s="681"/>
      <c r="E4" s="681"/>
      <c r="F4" s="681"/>
      <c r="G4" s="681"/>
      <c r="H4" s="681"/>
      <c r="I4" s="681"/>
    </row>
    <row r="5" spans="1:9" ht="39.950000000000003" customHeight="1" x14ac:dyDescent="0.2">
      <c r="A5" s="693" t="s">
        <v>313</v>
      </c>
      <c r="B5" s="857"/>
      <c r="C5" s="680"/>
      <c r="D5" s="681"/>
      <c r="E5" s="681"/>
      <c r="F5" s="681"/>
      <c r="G5" s="681"/>
      <c r="H5" s="681"/>
      <c r="I5" s="681"/>
    </row>
    <row r="6" spans="1:9" ht="39.950000000000003" customHeight="1" x14ac:dyDescent="0.2">
      <c r="A6" s="693" t="s">
        <v>316</v>
      </c>
      <c r="B6" s="857"/>
      <c r="C6" s="680"/>
      <c r="D6" s="681"/>
      <c r="E6" s="681"/>
      <c r="F6" s="681"/>
      <c r="G6" s="681"/>
      <c r="H6" s="681"/>
      <c r="I6" s="681"/>
    </row>
    <row r="7" spans="1:9" ht="39.950000000000003" customHeight="1" x14ac:dyDescent="0.2">
      <c r="A7" s="693" t="s">
        <v>317</v>
      </c>
      <c r="B7" s="635" t="s">
        <v>343</v>
      </c>
      <c r="C7" s="682" t="s">
        <v>354</v>
      </c>
      <c r="D7" s="683"/>
      <c r="E7" s="683"/>
      <c r="F7" s="683"/>
      <c r="G7" s="683"/>
      <c r="H7" s="683"/>
      <c r="I7" s="683"/>
    </row>
    <row r="8" spans="1:9" ht="39.950000000000003" customHeight="1" x14ac:dyDescent="0.2">
      <c r="A8" s="693" t="s">
        <v>318</v>
      </c>
      <c r="B8" s="635"/>
      <c r="C8" s="684"/>
      <c r="D8" s="685"/>
      <c r="E8" s="685"/>
      <c r="F8" s="685"/>
      <c r="G8" s="685"/>
      <c r="H8" s="685"/>
      <c r="I8" s="685"/>
    </row>
    <row r="9" spans="1:9" ht="39.950000000000003" customHeight="1" x14ac:dyDescent="0.2">
      <c r="A9" s="693" t="s">
        <v>270</v>
      </c>
      <c r="B9" s="635" t="s">
        <v>343</v>
      </c>
      <c r="C9" s="686" t="s">
        <v>271</v>
      </c>
      <c r="D9" s="687"/>
      <c r="E9" s="687"/>
      <c r="F9" s="687"/>
      <c r="G9" s="687"/>
      <c r="H9" s="687"/>
      <c r="I9" s="687"/>
    </row>
    <row r="10" spans="1:9" ht="39.950000000000003" customHeight="1" x14ac:dyDescent="0.2">
      <c r="A10" s="693" t="s">
        <v>314</v>
      </c>
      <c r="B10" s="635" t="s">
        <v>343</v>
      </c>
      <c r="C10" s="686" t="s">
        <v>272</v>
      </c>
      <c r="D10" s="687"/>
      <c r="E10" s="687"/>
      <c r="F10" s="687"/>
      <c r="G10" s="687"/>
      <c r="H10" s="687"/>
      <c r="I10" s="687"/>
    </row>
    <row r="11" spans="1:9" ht="39.950000000000003" customHeight="1" x14ac:dyDescent="0.2">
      <c r="A11" s="693" t="s">
        <v>277</v>
      </c>
      <c r="B11" s="635" t="s">
        <v>343</v>
      </c>
      <c r="C11" s="688" t="s">
        <v>273</v>
      </c>
      <c r="D11" s="689"/>
      <c r="E11" s="689"/>
      <c r="F11" s="689"/>
      <c r="G11" s="689"/>
      <c r="H11" s="689"/>
      <c r="I11" s="689"/>
    </row>
    <row r="12" spans="1:9" ht="39.950000000000003" customHeight="1" x14ac:dyDescent="0.2">
      <c r="A12" s="694" t="s">
        <v>176</v>
      </c>
      <c r="B12" s="635" t="s">
        <v>343</v>
      </c>
      <c r="C12" s="690" t="s">
        <v>274</v>
      </c>
      <c r="D12" s="691"/>
      <c r="E12" s="691"/>
      <c r="F12" s="691"/>
      <c r="G12" s="691"/>
      <c r="H12" s="691"/>
      <c r="I12" s="691"/>
    </row>
  </sheetData>
  <mergeCells count="1">
    <mergeCell ref="B1:B6"/>
  </mergeCells>
  <pageMargins left="0.7" right="0.7" top="0.75" bottom="0.75" header="0.3" footer="0.3"/>
  <pageSetup scale="90" fitToHeight="0" orientation="portrait" r:id="rId1"/>
  <headerFooter>
    <oddHeader>&amp;LAllotment Percent Guide Sheet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F25"/>
  <sheetViews>
    <sheetView workbookViewId="0">
      <selection activeCell="C5" sqref="C5"/>
    </sheetView>
  </sheetViews>
  <sheetFormatPr defaultRowHeight="12.75" x14ac:dyDescent="0.2"/>
  <cols>
    <col min="1" max="1" width="6" customWidth="1"/>
    <col min="2" max="2" width="65" customWidth="1"/>
    <col min="3" max="4" width="26.42578125" customWidth="1"/>
    <col min="5" max="5" width="5.85546875" customWidth="1"/>
    <col min="6" max="6" width="46.140625" customWidth="1"/>
  </cols>
  <sheetData>
    <row r="1" spans="1:6" ht="22.5" x14ac:dyDescent="0.3">
      <c r="B1" s="858" t="s">
        <v>375</v>
      </c>
      <c r="C1" s="858"/>
      <c r="D1" s="184"/>
      <c r="E1" s="184"/>
      <c r="F1" s="361"/>
    </row>
    <row r="2" spans="1:6" ht="23.25" x14ac:dyDescent="0.35">
      <c r="B2" s="859"/>
      <c r="C2" s="859"/>
      <c r="D2" s="184"/>
      <c r="E2" s="184"/>
      <c r="F2" s="361"/>
    </row>
    <row r="3" spans="1:6" ht="22.5" x14ac:dyDescent="0.3">
      <c r="B3" s="858" t="s">
        <v>398</v>
      </c>
      <c r="C3" s="858"/>
      <c r="D3" s="184"/>
      <c r="E3" s="184"/>
      <c r="F3" s="184"/>
    </row>
    <row r="4" spans="1:6" ht="20.25" x14ac:dyDescent="0.3">
      <c r="B4" s="752" t="s">
        <v>376</v>
      </c>
      <c r="C4" s="753" t="s">
        <v>377</v>
      </c>
      <c r="D4" s="753" t="s">
        <v>378</v>
      </c>
      <c r="E4" s="753"/>
      <c r="F4" s="184"/>
    </row>
    <row r="5" spans="1:6" ht="20.25" x14ac:dyDescent="0.3">
      <c r="A5" s="754">
        <v>1</v>
      </c>
      <c r="B5" s="755" t="s">
        <v>379</v>
      </c>
      <c r="C5" s="756">
        <v>9000</v>
      </c>
      <c r="D5" s="756">
        <f>C5</f>
        <v>9000</v>
      </c>
      <c r="E5" s="756"/>
      <c r="F5" s="184" t="s">
        <v>380</v>
      </c>
    </row>
    <row r="6" spans="1:6" ht="20.25" x14ac:dyDescent="0.3">
      <c r="A6" s="754">
        <v>2</v>
      </c>
      <c r="B6" s="755" t="s">
        <v>381</v>
      </c>
      <c r="C6" s="756">
        <v>0</v>
      </c>
      <c r="D6" s="756">
        <v>1200</v>
      </c>
      <c r="E6" s="756"/>
      <c r="F6" s="184" t="s">
        <v>382</v>
      </c>
    </row>
    <row r="7" spans="1:6" ht="20.25" x14ac:dyDescent="0.3">
      <c r="A7" s="754"/>
      <c r="B7" s="755"/>
      <c r="C7" s="757"/>
      <c r="D7" s="756"/>
      <c r="E7" s="756"/>
      <c r="F7" s="184"/>
    </row>
    <row r="8" spans="1:6" ht="20.25" x14ac:dyDescent="0.3">
      <c r="A8" s="754"/>
      <c r="B8" s="752" t="s">
        <v>383</v>
      </c>
      <c r="C8" s="756"/>
      <c r="D8" s="756"/>
      <c r="E8" s="756"/>
      <c r="F8" s="184"/>
    </row>
    <row r="9" spans="1:6" ht="20.25" x14ac:dyDescent="0.3">
      <c r="A9" s="754">
        <v>3</v>
      </c>
      <c r="B9" s="755" t="s">
        <v>384</v>
      </c>
      <c r="C9" s="756">
        <f>C25</f>
        <v>9877</v>
      </c>
      <c r="D9" s="756">
        <f>C9</f>
        <v>9877</v>
      </c>
      <c r="E9" s="756"/>
      <c r="F9" s="184" t="s">
        <v>382</v>
      </c>
    </row>
    <row r="10" spans="1:6" ht="20.25" x14ac:dyDescent="0.3">
      <c r="A10" s="754">
        <v>4</v>
      </c>
      <c r="B10" s="755" t="s">
        <v>385</v>
      </c>
      <c r="C10" s="756">
        <f>C9</f>
        <v>9877</v>
      </c>
      <c r="D10" s="756">
        <v>8500</v>
      </c>
      <c r="E10" s="756"/>
      <c r="F10" s="184" t="s">
        <v>382</v>
      </c>
    </row>
    <row r="11" spans="1:6" ht="20.25" x14ac:dyDescent="0.3">
      <c r="A11" s="754">
        <v>5</v>
      </c>
      <c r="B11" s="755" t="s">
        <v>386</v>
      </c>
      <c r="C11" s="756">
        <f>C10*C21</f>
        <v>8889.3000000000011</v>
      </c>
      <c r="D11" s="756">
        <f>D10*C21</f>
        <v>7650</v>
      </c>
      <c r="E11" s="756"/>
      <c r="F11" s="184" t="s">
        <v>387</v>
      </c>
    </row>
    <row r="12" spans="1:6" ht="20.25" x14ac:dyDescent="0.3">
      <c r="A12" s="754"/>
      <c r="B12" s="755"/>
      <c r="C12" s="755"/>
      <c r="D12" s="756"/>
      <c r="E12" s="756"/>
      <c r="F12" s="184"/>
    </row>
    <row r="13" spans="1:6" ht="20.25" x14ac:dyDescent="0.3">
      <c r="A13" s="754">
        <v>6</v>
      </c>
      <c r="B13" s="755" t="s">
        <v>397</v>
      </c>
      <c r="C13" s="756">
        <f>(C6)+C11</f>
        <v>8889.3000000000011</v>
      </c>
      <c r="D13" s="756">
        <f>(D6)+D11</f>
        <v>8850</v>
      </c>
      <c r="E13" s="756"/>
      <c r="F13" s="184" t="s">
        <v>388</v>
      </c>
    </row>
    <row r="14" spans="1:6" ht="20.25" x14ac:dyDescent="0.3">
      <c r="A14" s="754"/>
      <c r="B14" s="755"/>
      <c r="C14" s="755"/>
      <c r="D14" s="756"/>
      <c r="E14" s="756"/>
      <c r="F14" s="184"/>
    </row>
    <row r="15" spans="1:6" ht="20.25" x14ac:dyDescent="0.3">
      <c r="A15" s="754">
        <v>7</v>
      </c>
      <c r="B15" s="755" t="s">
        <v>389</v>
      </c>
      <c r="C15" s="757">
        <f>C5-C13</f>
        <v>110.69999999999891</v>
      </c>
      <c r="D15" s="757">
        <f>D5-D13</f>
        <v>150</v>
      </c>
      <c r="E15" s="757"/>
      <c r="F15" s="184" t="s">
        <v>390</v>
      </c>
    </row>
    <row r="16" spans="1:6" ht="20.25" x14ac:dyDescent="0.3">
      <c r="B16" s="755"/>
      <c r="C16" s="755"/>
      <c r="D16" s="756"/>
      <c r="E16" s="756"/>
      <c r="F16" s="755"/>
    </row>
    <row r="17" spans="2:6" ht="20.25" x14ac:dyDescent="0.3">
      <c r="F17" s="755"/>
    </row>
    <row r="18" spans="2:6" ht="20.25" x14ac:dyDescent="0.3">
      <c r="F18" s="755"/>
    </row>
    <row r="19" spans="2:6" ht="21" thickBot="1" x14ac:dyDescent="0.35">
      <c r="F19" s="755"/>
    </row>
    <row r="20" spans="2:6" ht="22.5" x14ac:dyDescent="0.3">
      <c r="B20" s="758" t="s">
        <v>391</v>
      </c>
      <c r="C20" s="759">
        <f>100%-C21</f>
        <v>9.9999999999999978E-2</v>
      </c>
      <c r="F20" s="755"/>
    </row>
    <row r="21" spans="2:6" ht="23.25" thickBot="1" x14ac:dyDescent="0.35">
      <c r="B21" s="760" t="s">
        <v>392</v>
      </c>
      <c r="C21" s="761">
        <v>0.9</v>
      </c>
      <c r="F21" s="755"/>
    </row>
    <row r="22" spans="2:6" ht="24" thickBot="1" x14ac:dyDescent="0.4">
      <c r="B22" s="762"/>
      <c r="C22" s="763" t="s">
        <v>393</v>
      </c>
      <c r="D22" s="184"/>
      <c r="E22" s="184"/>
      <c r="F22" s="361"/>
    </row>
    <row r="23" spans="2:6" ht="23.25" x14ac:dyDescent="0.35">
      <c r="B23" s="764" t="s">
        <v>394</v>
      </c>
      <c r="C23" s="765">
        <v>9527</v>
      </c>
      <c r="D23" s="766"/>
      <c r="E23" s="766"/>
      <c r="F23" s="361" t="s">
        <v>382</v>
      </c>
    </row>
    <row r="24" spans="2:6" ht="23.25" x14ac:dyDescent="0.35">
      <c r="B24" s="767" t="s">
        <v>395</v>
      </c>
      <c r="C24" s="768">
        <v>350</v>
      </c>
      <c r="D24" s="184"/>
      <c r="E24" s="184"/>
      <c r="F24" s="361" t="s">
        <v>382</v>
      </c>
    </row>
    <row r="25" spans="2:6" ht="24" thickBot="1" x14ac:dyDescent="0.4">
      <c r="B25" s="769" t="s">
        <v>396</v>
      </c>
      <c r="C25" s="770">
        <f>C23+C24</f>
        <v>9877</v>
      </c>
      <c r="D25" s="184"/>
      <c r="E25" s="184"/>
      <c r="F25" s="361"/>
    </row>
  </sheetData>
  <mergeCells count="3">
    <mergeCell ref="B1:C1"/>
    <mergeCell ref="B2:C2"/>
    <mergeCell ref="B3:C3"/>
  </mergeCells>
  <pageMargins left="0.7" right="0.7" top="0.75" bottom="0.75" header="0.3" footer="0.3"/>
  <pageSetup scale="7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sheetPr>
  <dimension ref="A1:K35"/>
  <sheetViews>
    <sheetView workbookViewId="0">
      <selection activeCell="F26" sqref="F26:K28"/>
    </sheetView>
  </sheetViews>
  <sheetFormatPr defaultRowHeight="12.75" x14ac:dyDescent="0.2"/>
  <cols>
    <col min="1" max="1" width="4.7109375" customWidth="1"/>
    <col min="2" max="2" width="57.5703125" customWidth="1"/>
    <col min="3" max="3" width="18.42578125" customWidth="1"/>
    <col min="4" max="4" width="15" customWidth="1"/>
  </cols>
  <sheetData>
    <row r="1" spans="1:11" ht="18.75" x14ac:dyDescent="0.3">
      <c r="A1" s="184"/>
      <c r="B1" s="783" t="s">
        <v>234</v>
      </c>
      <c r="C1" s="784"/>
      <c r="D1" s="785"/>
      <c r="E1" s="184"/>
      <c r="F1" s="184"/>
      <c r="G1" s="184"/>
      <c r="H1" s="184"/>
      <c r="I1" s="184"/>
      <c r="J1" s="184"/>
      <c r="K1" s="184"/>
    </row>
    <row r="2" spans="1:11" ht="18.75" x14ac:dyDescent="0.3">
      <c r="A2" s="785"/>
      <c r="B2" s="783" t="s">
        <v>235</v>
      </c>
      <c r="C2" s="785" t="s">
        <v>236</v>
      </c>
      <c r="D2" s="785" t="s">
        <v>237</v>
      </c>
      <c r="E2" s="184"/>
      <c r="F2" s="184"/>
      <c r="G2" s="184"/>
      <c r="H2" s="184"/>
      <c r="I2" s="184"/>
      <c r="J2" s="184"/>
      <c r="K2" s="184"/>
    </row>
    <row r="3" spans="1:11" ht="18.75" x14ac:dyDescent="0.3">
      <c r="A3" s="785"/>
      <c r="B3" s="783" t="s">
        <v>403</v>
      </c>
      <c r="C3" s="194">
        <v>0.9</v>
      </c>
      <c r="D3" s="786">
        <f>100%-C3</f>
        <v>9.9999999999999978E-2</v>
      </c>
      <c r="E3" s="184"/>
      <c r="F3" s="184"/>
      <c r="G3" s="184"/>
      <c r="H3" s="184"/>
      <c r="I3" s="184"/>
      <c r="J3" s="184"/>
      <c r="K3" s="184"/>
    </row>
    <row r="4" spans="1:11" ht="19.5" x14ac:dyDescent="0.35">
      <c r="A4" s="184"/>
      <c r="B4" s="787"/>
      <c r="C4" s="860" t="s">
        <v>408</v>
      </c>
      <c r="D4" s="860"/>
      <c r="E4" s="184"/>
      <c r="F4" s="788" t="s">
        <v>183</v>
      </c>
      <c r="G4" s="184"/>
      <c r="H4" s="184"/>
      <c r="I4" s="184"/>
      <c r="J4" s="184"/>
      <c r="K4" s="803"/>
    </row>
    <row r="5" spans="1:11" ht="32.25" x14ac:dyDescent="0.3">
      <c r="A5" s="789"/>
      <c r="B5" s="790"/>
      <c r="C5" s="801" t="s">
        <v>402</v>
      </c>
      <c r="D5" s="804" t="s">
        <v>405</v>
      </c>
      <c r="E5" s="184"/>
      <c r="F5" s="184"/>
      <c r="G5" s="184"/>
      <c r="H5" s="184"/>
      <c r="I5" s="184"/>
      <c r="J5" s="184"/>
      <c r="K5" s="184"/>
    </row>
    <row r="6" spans="1:11" ht="19.5" thickBot="1" x14ac:dyDescent="0.3">
      <c r="A6" s="791">
        <v>1</v>
      </c>
      <c r="B6" s="792" t="s">
        <v>276</v>
      </c>
      <c r="C6" s="799">
        <f>('Marketing Policy'!D7)</f>
        <v>5888.1769999999997</v>
      </c>
      <c r="D6" s="797">
        <f>C6</f>
        <v>5888.1769999999997</v>
      </c>
      <c r="E6" s="185"/>
      <c r="F6" s="862" t="s">
        <v>238</v>
      </c>
      <c r="G6" s="862"/>
      <c r="H6" s="862"/>
      <c r="I6" s="862"/>
      <c r="J6" s="862"/>
      <c r="K6" s="862"/>
    </row>
    <row r="7" spans="1:11" ht="18.75" x14ac:dyDescent="0.3">
      <c r="A7" s="793"/>
      <c r="B7" s="794" t="s">
        <v>15</v>
      </c>
      <c r="C7" s="799"/>
      <c r="D7" s="797"/>
      <c r="E7" s="184"/>
      <c r="F7" s="157"/>
      <c r="G7" s="156"/>
      <c r="H7" s="156"/>
      <c r="I7" s="156"/>
      <c r="J7" s="156"/>
      <c r="K7" s="156"/>
    </row>
    <row r="8" spans="1:11" ht="19.5" thickBot="1" x14ac:dyDescent="0.35">
      <c r="A8" s="791">
        <v>2</v>
      </c>
      <c r="B8" s="792" t="s">
        <v>37</v>
      </c>
      <c r="C8" s="799">
        <f>'Marketing Policy'!D9</f>
        <v>8848.5714285714275</v>
      </c>
      <c r="D8" s="797">
        <f>C8</f>
        <v>8848.5714285714275</v>
      </c>
      <c r="E8" s="186"/>
      <c r="F8" s="864" t="s">
        <v>239</v>
      </c>
      <c r="G8" s="864"/>
      <c r="H8" s="864"/>
      <c r="I8" s="864"/>
      <c r="J8" s="864"/>
      <c r="K8" s="864"/>
    </row>
    <row r="9" spans="1:11" ht="19.5" thickBot="1" x14ac:dyDescent="0.35">
      <c r="A9" s="791">
        <v>3</v>
      </c>
      <c r="B9" s="792" t="s">
        <v>16</v>
      </c>
      <c r="C9" s="799">
        <f>'Marketing Policy'!D10</f>
        <v>1750.8858400000001</v>
      </c>
      <c r="D9" s="797">
        <f>C9</f>
        <v>1750.8858400000001</v>
      </c>
      <c r="E9" s="186"/>
      <c r="F9" s="861" t="s">
        <v>240</v>
      </c>
      <c r="G9" s="861"/>
      <c r="H9" s="861"/>
      <c r="I9" s="861"/>
      <c r="J9" s="861"/>
      <c r="K9" s="861"/>
    </row>
    <row r="10" spans="1:11" ht="19.5" thickBot="1" x14ac:dyDescent="0.35">
      <c r="A10" s="791">
        <v>4</v>
      </c>
      <c r="B10" s="792" t="s">
        <v>38</v>
      </c>
      <c r="C10" s="799">
        <f>(C8+C9)</f>
        <v>10599.457268571428</v>
      </c>
      <c r="D10" s="797">
        <f>C10</f>
        <v>10599.457268571428</v>
      </c>
      <c r="E10" s="186"/>
      <c r="F10" s="862" t="s">
        <v>213</v>
      </c>
      <c r="G10" s="862"/>
      <c r="H10" s="862"/>
      <c r="I10" s="862"/>
      <c r="J10" s="862"/>
      <c r="K10" s="862"/>
    </row>
    <row r="11" spans="1:11" ht="18.75" x14ac:dyDescent="0.3">
      <c r="A11" s="791"/>
      <c r="B11" s="792"/>
      <c r="C11" s="799"/>
      <c r="D11" s="797"/>
      <c r="E11" s="184"/>
      <c r="F11" s="862"/>
      <c r="G11" s="862"/>
      <c r="H11" s="862"/>
      <c r="I11" s="862"/>
      <c r="J11" s="862"/>
      <c r="K11" s="862"/>
    </row>
    <row r="12" spans="1:11" ht="19.5" thickBot="1" x14ac:dyDescent="0.35">
      <c r="A12" s="791">
        <v>5</v>
      </c>
      <c r="B12" s="792" t="s">
        <v>17</v>
      </c>
      <c r="C12" s="799">
        <f>(C6+C10)</f>
        <v>16487.634268571426</v>
      </c>
      <c r="D12" s="797">
        <f>C12</f>
        <v>16487.634268571426</v>
      </c>
      <c r="E12" s="186"/>
      <c r="F12" s="862" t="s">
        <v>217</v>
      </c>
      <c r="G12" s="862"/>
      <c r="H12" s="862"/>
      <c r="I12" s="862"/>
      <c r="J12" s="862"/>
      <c r="K12" s="862"/>
    </row>
    <row r="13" spans="1:11" ht="18.75" x14ac:dyDescent="0.3">
      <c r="A13" s="791"/>
      <c r="B13" s="792"/>
      <c r="C13" s="799"/>
      <c r="D13" s="797"/>
      <c r="E13" s="184"/>
      <c r="F13" s="862"/>
      <c r="G13" s="862"/>
      <c r="H13" s="862"/>
      <c r="I13" s="862"/>
      <c r="J13" s="862"/>
      <c r="K13" s="862"/>
    </row>
    <row r="14" spans="1:11" ht="18.75" x14ac:dyDescent="0.3">
      <c r="A14" s="795"/>
      <c r="B14" s="796" t="s">
        <v>18</v>
      </c>
      <c r="C14" s="799"/>
      <c r="D14" s="797"/>
      <c r="E14" s="184"/>
      <c r="F14" s="157"/>
      <c r="G14" s="156"/>
      <c r="H14" s="156"/>
      <c r="I14" s="156"/>
      <c r="J14" s="156"/>
      <c r="K14" s="156"/>
    </row>
    <row r="15" spans="1:11" ht="19.5" thickBot="1" x14ac:dyDescent="0.35">
      <c r="A15" s="791">
        <v>6</v>
      </c>
      <c r="B15" s="792" t="s">
        <v>214</v>
      </c>
      <c r="C15" s="799">
        <f>'Marketing Policy'!D14</f>
        <v>117.76353999999999</v>
      </c>
      <c r="D15" s="797">
        <f>C15</f>
        <v>117.76353999999999</v>
      </c>
      <c r="E15" s="186"/>
      <c r="F15" s="157" t="s">
        <v>216</v>
      </c>
      <c r="G15" s="156"/>
      <c r="H15" s="156"/>
      <c r="I15" s="156"/>
      <c r="J15" s="156"/>
      <c r="K15" s="156"/>
    </row>
    <row r="16" spans="1:11" ht="19.5" thickBot="1" x14ac:dyDescent="0.35">
      <c r="A16" s="791">
        <v>7</v>
      </c>
      <c r="B16" s="792" t="s">
        <v>109</v>
      </c>
      <c r="C16" s="799">
        <f>'Marketing Policy'!D15</f>
        <v>423.97829074285715</v>
      </c>
      <c r="D16" s="797">
        <f>C16</f>
        <v>423.97829074285715</v>
      </c>
      <c r="E16" s="186"/>
      <c r="F16" s="861" t="s">
        <v>215</v>
      </c>
      <c r="G16" s="861"/>
      <c r="H16" s="861"/>
      <c r="I16" s="861"/>
      <c r="J16" s="861"/>
      <c r="K16" s="861"/>
    </row>
    <row r="17" spans="1:11" ht="19.5" thickBot="1" x14ac:dyDescent="0.35">
      <c r="A17" s="791" t="s">
        <v>406</v>
      </c>
      <c r="B17" s="792" t="s">
        <v>407</v>
      </c>
      <c r="C17" s="799"/>
      <c r="D17" s="805">
        <f>D8*(D3)</f>
        <v>884.85714285714255</v>
      </c>
      <c r="E17" s="186"/>
      <c r="F17" s="157" t="s">
        <v>409</v>
      </c>
      <c r="G17" s="156"/>
      <c r="H17" s="156"/>
      <c r="I17" s="156"/>
      <c r="J17" s="156"/>
      <c r="K17" s="156"/>
    </row>
    <row r="18" spans="1:11" ht="19.5" thickBot="1" x14ac:dyDescent="0.35">
      <c r="A18" s="791">
        <v>8</v>
      </c>
      <c r="B18" s="792" t="s">
        <v>39</v>
      </c>
      <c r="C18" s="799">
        <f>SUM(C15:C17)</f>
        <v>541.74183074285713</v>
      </c>
      <c r="D18" s="797">
        <f>SUM(D15:D17)</f>
        <v>1426.5989735999997</v>
      </c>
      <c r="E18" s="186"/>
      <c r="F18" s="862" t="s">
        <v>222</v>
      </c>
      <c r="G18" s="862"/>
      <c r="H18" s="862"/>
      <c r="I18" s="862"/>
      <c r="J18" s="862"/>
      <c r="K18" s="862"/>
    </row>
    <row r="19" spans="1:11" ht="18.75" x14ac:dyDescent="0.3">
      <c r="A19" s="791"/>
      <c r="B19" s="792"/>
      <c r="C19" s="799"/>
      <c r="D19" s="797"/>
      <c r="E19" s="184"/>
      <c r="F19" s="862"/>
      <c r="G19" s="862"/>
      <c r="H19" s="862"/>
      <c r="I19" s="862"/>
      <c r="J19" s="862"/>
      <c r="K19" s="862"/>
    </row>
    <row r="20" spans="1:11" ht="19.5" thickBot="1" x14ac:dyDescent="0.35">
      <c r="A20" s="791">
        <v>9</v>
      </c>
      <c r="B20" s="792" t="s">
        <v>19</v>
      </c>
      <c r="C20" s="799">
        <f>(C12-C18)</f>
        <v>15945.892437828568</v>
      </c>
      <c r="D20" s="797">
        <f>(D12-D18)</f>
        <v>15061.035294971427</v>
      </c>
      <c r="E20" s="186"/>
      <c r="F20" s="862" t="s">
        <v>218</v>
      </c>
      <c r="G20" s="862"/>
      <c r="H20" s="862"/>
      <c r="I20" s="862"/>
      <c r="J20" s="862"/>
      <c r="K20" s="862"/>
    </row>
    <row r="21" spans="1:11" ht="18.75" x14ac:dyDescent="0.3">
      <c r="A21" s="791"/>
      <c r="B21" s="792"/>
      <c r="C21" s="799"/>
      <c r="D21" s="797"/>
      <c r="E21" s="184"/>
      <c r="F21" s="862"/>
      <c r="G21" s="862"/>
      <c r="H21" s="862"/>
      <c r="I21" s="862"/>
      <c r="J21" s="862"/>
      <c r="K21" s="862"/>
    </row>
    <row r="22" spans="1:11" ht="18.75" x14ac:dyDescent="0.3">
      <c r="A22" s="793" t="s">
        <v>20</v>
      </c>
      <c r="B22" s="794" t="s">
        <v>21</v>
      </c>
      <c r="C22" s="799"/>
      <c r="D22" s="797"/>
      <c r="E22" s="184"/>
      <c r="F22" s="157"/>
      <c r="G22" s="156"/>
      <c r="H22" s="156"/>
      <c r="I22" s="156"/>
      <c r="J22" s="156"/>
      <c r="K22" s="156"/>
    </row>
    <row r="23" spans="1:11" ht="19.5" thickBot="1" x14ac:dyDescent="0.35">
      <c r="A23" s="791">
        <v>10</v>
      </c>
      <c r="B23" s="792" t="s">
        <v>40</v>
      </c>
      <c r="C23" s="799">
        <f>'Marketing Policy'!D19</f>
        <v>345.05205000000001</v>
      </c>
      <c r="D23" s="797">
        <f>C23</f>
        <v>345.05205000000001</v>
      </c>
      <c r="E23" s="186"/>
      <c r="F23" s="157" t="s">
        <v>241</v>
      </c>
      <c r="G23" s="156"/>
      <c r="H23" s="156"/>
      <c r="I23" s="156"/>
      <c r="J23" s="156"/>
      <c r="K23" s="156"/>
    </row>
    <row r="24" spans="1:11" ht="19.5" thickBot="1" x14ac:dyDescent="0.35">
      <c r="A24" s="791">
        <v>11</v>
      </c>
      <c r="B24" s="792" t="s">
        <v>41</v>
      </c>
      <c r="C24" s="799">
        <f>'Marketing Policy'!D20</f>
        <v>9605.8796399999992</v>
      </c>
      <c r="D24" s="797">
        <f>C24</f>
        <v>9605.8796399999992</v>
      </c>
      <c r="E24" s="186"/>
      <c r="F24" s="157" t="s">
        <v>242</v>
      </c>
      <c r="G24" s="156"/>
      <c r="H24" s="156"/>
      <c r="I24" s="156"/>
      <c r="J24" s="156"/>
      <c r="K24" s="156"/>
    </row>
    <row r="25" spans="1:11" ht="19.5" thickBot="1" x14ac:dyDescent="0.35">
      <c r="A25" s="791">
        <v>12</v>
      </c>
      <c r="B25" s="792" t="s">
        <v>22</v>
      </c>
      <c r="C25" s="799">
        <f>SUM(C23,C24)</f>
        <v>9950.9316899999994</v>
      </c>
      <c r="D25" s="797">
        <f>C25</f>
        <v>9950.9316899999994</v>
      </c>
      <c r="E25" s="186"/>
      <c r="F25" s="861" t="s">
        <v>219</v>
      </c>
      <c r="G25" s="861"/>
      <c r="H25" s="861"/>
      <c r="I25" s="861"/>
      <c r="J25" s="861"/>
      <c r="K25" s="861"/>
    </row>
    <row r="26" spans="1:11" ht="19.5" thickBot="1" x14ac:dyDescent="0.35">
      <c r="A26" s="791">
        <v>13</v>
      </c>
      <c r="B26" s="792" t="s">
        <v>404</v>
      </c>
      <c r="C26" s="799">
        <f>'Marketing Policy'!D22</f>
        <v>5994.9607478285689</v>
      </c>
      <c r="D26" s="797">
        <f>D20-D25</f>
        <v>5110.1036049714276</v>
      </c>
      <c r="E26" s="186"/>
      <c r="F26" s="862" t="s">
        <v>220</v>
      </c>
      <c r="G26" s="862"/>
      <c r="H26" s="862"/>
      <c r="I26" s="862"/>
      <c r="J26" s="862"/>
      <c r="K26" s="862"/>
    </row>
    <row r="27" spans="1:11" ht="18.75" x14ac:dyDescent="0.3">
      <c r="A27" s="791"/>
      <c r="B27" s="792"/>
      <c r="C27" s="799"/>
      <c r="D27" s="797"/>
      <c r="E27" s="184"/>
      <c r="F27" s="862"/>
      <c r="G27" s="862"/>
      <c r="H27" s="862"/>
      <c r="I27" s="862"/>
      <c r="J27" s="862"/>
      <c r="K27" s="862"/>
    </row>
    <row r="28" spans="1:11" ht="18.75" x14ac:dyDescent="0.3">
      <c r="A28" s="791">
        <v>14</v>
      </c>
      <c r="B28" s="792" t="s">
        <v>399</v>
      </c>
      <c r="C28" s="800">
        <f>'Marketing Policy'!D23</f>
        <v>0.57134730590608707</v>
      </c>
      <c r="D28" s="798">
        <f>D26/(D18+D25)</f>
        <v>0.44913995453513672</v>
      </c>
      <c r="E28" s="184"/>
      <c r="F28" s="862"/>
      <c r="G28" s="862"/>
      <c r="H28" s="862"/>
      <c r="I28" s="862"/>
      <c r="J28" s="862"/>
      <c r="K28" s="862"/>
    </row>
    <row r="29" spans="1:11" ht="19.5" x14ac:dyDescent="0.3">
      <c r="A29" s="201"/>
      <c r="B29" s="201"/>
      <c r="C29" s="201"/>
      <c r="D29" s="184"/>
      <c r="E29" s="184"/>
      <c r="F29" s="184"/>
      <c r="G29" s="184"/>
      <c r="H29" s="184"/>
      <c r="I29" s="184"/>
      <c r="J29" s="184"/>
      <c r="K29" s="184"/>
    </row>
    <row r="30" spans="1:11" ht="18.75" x14ac:dyDescent="0.3">
      <c r="B30" s="863" t="s">
        <v>184</v>
      </c>
      <c r="C30" s="863"/>
      <c r="D30" s="863"/>
      <c r="E30" s="202"/>
      <c r="F30" s="184"/>
      <c r="G30" s="184"/>
      <c r="H30" s="184"/>
      <c r="I30" s="184"/>
      <c r="J30" s="184"/>
      <c r="K30" s="184"/>
    </row>
    <row r="31" spans="1:11" ht="19.5" x14ac:dyDescent="0.3">
      <c r="A31" s="203"/>
      <c r="B31" s="863"/>
      <c r="C31" s="863"/>
      <c r="D31" s="863"/>
      <c r="E31" s="184"/>
      <c r="F31" s="184"/>
      <c r="G31" s="184"/>
      <c r="H31" s="184"/>
      <c r="I31" s="184"/>
      <c r="J31" s="184"/>
      <c r="K31" s="184"/>
    </row>
    <row r="32" spans="1:11" ht="19.5" x14ac:dyDescent="0.3">
      <c r="A32" s="203"/>
      <c r="B32" s="863"/>
      <c r="C32" s="863"/>
      <c r="D32" s="863"/>
      <c r="E32" s="184"/>
      <c r="F32" s="184"/>
      <c r="G32" s="184"/>
      <c r="H32" s="184"/>
      <c r="I32" s="184"/>
      <c r="J32" s="184"/>
      <c r="K32" s="184"/>
    </row>
    <row r="33" spans="2:4" x14ac:dyDescent="0.2">
      <c r="B33" s="863"/>
      <c r="C33" s="863"/>
      <c r="D33" s="863"/>
    </row>
    <row r="34" spans="2:4" x14ac:dyDescent="0.2">
      <c r="B34" s="863"/>
      <c r="C34" s="863"/>
      <c r="D34" s="863"/>
    </row>
    <row r="35" spans="2:4" x14ac:dyDescent="0.2">
      <c r="B35" s="863"/>
      <c r="C35" s="863"/>
      <c r="D35" s="863"/>
    </row>
  </sheetData>
  <mergeCells count="12">
    <mergeCell ref="F26:K28"/>
    <mergeCell ref="B30:D35"/>
    <mergeCell ref="F6:K6"/>
    <mergeCell ref="F8:K8"/>
    <mergeCell ref="F9:K9"/>
    <mergeCell ref="F10:K11"/>
    <mergeCell ref="F12:K13"/>
    <mergeCell ref="C4:D4"/>
    <mergeCell ref="F16:K16"/>
    <mergeCell ref="F18:K19"/>
    <mergeCell ref="F20:K21"/>
    <mergeCell ref="F25:K2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9"/>
  <dimension ref="A1:J17"/>
  <sheetViews>
    <sheetView topLeftCell="A2" zoomScale="115" zoomScaleNormal="115" workbookViewId="0">
      <selection activeCell="G17" sqref="G17"/>
    </sheetView>
  </sheetViews>
  <sheetFormatPr defaultRowHeight="12.75" x14ac:dyDescent="0.2"/>
  <cols>
    <col min="1" max="1" width="35.7109375" customWidth="1"/>
    <col min="2" max="2" width="13.28515625" customWidth="1"/>
    <col min="3" max="3" width="13.140625" customWidth="1"/>
    <col min="4" max="4" width="12" customWidth="1"/>
    <col min="5" max="5" width="12.28515625" customWidth="1"/>
  </cols>
  <sheetData>
    <row r="1" spans="1:10" ht="18.75" x14ac:dyDescent="0.3">
      <c r="A1" s="865" t="s">
        <v>180</v>
      </c>
      <c r="B1" s="865"/>
      <c r="C1" s="865"/>
      <c r="D1" s="865"/>
      <c r="E1" s="865"/>
    </row>
    <row r="3" spans="1:10" ht="63" x14ac:dyDescent="0.2">
      <c r="A3" s="6" t="s">
        <v>176</v>
      </c>
      <c r="B3" s="6" t="s">
        <v>185</v>
      </c>
      <c r="C3" s="6" t="s">
        <v>177</v>
      </c>
      <c r="D3" s="6" t="s">
        <v>34</v>
      </c>
      <c r="E3" s="6" t="s">
        <v>58</v>
      </c>
    </row>
    <row r="4" spans="1:10" ht="15" x14ac:dyDescent="0.2">
      <c r="B4" s="866" t="s">
        <v>108</v>
      </c>
      <c r="C4" s="867"/>
      <c r="D4" s="867"/>
      <c r="E4" s="867"/>
    </row>
    <row r="5" spans="1:10" ht="15" x14ac:dyDescent="0.25">
      <c r="A5" s="7" t="s">
        <v>178</v>
      </c>
      <c r="B5" s="8">
        <f>'Marketing Policy'!E9*1000</f>
        <v>8834000</v>
      </c>
      <c r="C5" s="9">
        <f>(B5*0.96)+(('Marketing Policy'!E7*1000)*0.98)+(('Marketing Policy'!E10*1000)*0.96)</f>
        <v>15625800</v>
      </c>
      <c r="D5" s="10">
        <f>'Marketing Policy'!E21*1000</f>
        <v>10340000</v>
      </c>
      <c r="E5" s="10">
        <f t="shared" ref="E5:E10" si="0">C5-D5</f>
        <v>5285800</v>
      </c>
    </row>
    <row r="6" spans="1:10" ht="15" x14ac:dyDescent="0.25">
      <c r="A6" s="11">
        <v>1</v>
      </c>
      <c r="B6" s="8" t="e">
        <f>MIN((1*'Calculating Allotment Percent'!#REF!),C16)</f>
        <v>#REF!</v>
      </c>
      <c r="C6" s="9" t="e">
        <f>(B6*0.96)+(('Marketing Policy'!E7*1000)*0.98)+(('Marketing Policy'!E10*1000)*0.96)</f>
        <v>#REF!</v>
      </c>
      <c r="D6" s="10">
        <f>'Marketing Policy'!E21*1000</f>
        <v>10340000</v>
      </c>
      <c r="E6" s="10" t="e">
        <f t="shared" si="0"/>
        <v>#REF!</v>
      </c>
    </row>
    <row r="7" spans="1:10" ht="15" x14ac:dyDescent="0.25">
      <c r="A7" s="11">
        <v>0.9</v>
      </c>
      <c r="B7" s="8" t="e">
        <f>MIN(0.9*B17,C16)</f>
        <v>#REF!</v>
      </c>
      <c r="C7" s="9" t="e">
        <f>(B7*0.96)+(('Marketing Policy'!E7*1000)*0.98)+(('Marketing Policy'!E10*1000)*0.96)</f>
        <v>#REF!</v>
      </c>
      <c r="D7" s="10">
        <f>'Marketing Policy'!E21*1000</f>
        <v>10340000</v>
      </c>
      <c r="E7" s="10" t="e">
        <f t="shared" si="0"/>
        <v>#REF!</v>
      </c>
      <c r="G7" t="s">
        <v>20</v>
      </c>
      <c r="H7" t="s">
        <v>20</v>
      </c>
      <c r="I7" t="s">
        <v>20</v>
      </c>
      <c r="J7" t="s">
        <v>20</v>
      </c>
    </row>
    <row r="8" spans="1:10" ht="15" x14ac:dyDescent="0.25">
      <c r="A8" s="11">
        <v>0.8</v>
      </c>
      <c r="B8" s="8" t="e">
        <f>MIN(0.8*B17,C16)</f>
        <v>#REF!</v>
      </c>
      <c r="C8" s="9" t="e">
        <f>(B8*0.96)+(('Marketing Policy'!E7*1000)*0.98)+(('Marketing Policy'!E10*1000)*0.96)</f>
        <v>#REF!</v>
      </c>
      <c r="D8" s="10">
        <f>'Marketing Policy'!E21*1000</f>
        <v>10340000</v>
      </c>
      <c r="E8" s="10" t="e">
        <f t="shared" si="0"/>
        <v>#REF!</v>
      </c>
    </row>
    <row r="9" spans="1:10" ht="15" x14ac:dyDescent="0.25">
      <c r="A9" s="11">
        <v>0.7</v>
      </c>
      <c r="B9" s="8" t="e">
        <f>MIN(0.7*B17,C16)</f>
        <v>#REF!</v>
      </c>
      <c r="C9" s="9" t="e">
        <f>(B9*0.96)+(('Marketing Policy'!E7*1000)*0.98)+(('Marketing Policy'!E10*1000)*0.96)</f>
        <v>#REF!</v>
      </c>
      <c r="D9" s="10">
        <f>'Marketing Policy'!E21*1000</f>
        <v>10340000</v>
      </c>
      <c r="E9" s="10" t="e">
        <f t="shared" si="0"/>
        <v>#REF!</v>
      </c>
    </row>
    <row r="10" spans="1:10" ht="15" x14ac:dyDescent="0.25">
      <c r="A10" s="12">
        <v>0.6</v>
      </c>
      <c r="B10" s="8" t="e">
        <f>MIN(0.6*B17,C16)</f>
        <v>#REF!</v>
      </c>
      <c r="C10" s="9" t="e">
        <f>(B10*0.96)+(('Marketing Policy'!E7*1000)*0.98)+(('Marketing Policy'!E10*1000)*0.96)</f>
        <v>#REF!</v>
      </c>
      <c r="D10" s="10">
        <f>'Marketing Policy'!E21*1000</f>
        <v>10340000</v>
      </c>
      <c r="E10" s="10" t="e">
        <f t="shared" si="0"/>
        <v>#REF!</v>
      </c>
    </row>
    <row r="11" spans="1:10" x14ac:dyDescent="0.2">
      <c r="B11" s="5"/>
      <c r="D11" s="10" t="s">
        <v>20</v>
      </c>
    </row>
    <row r="12" spans="1:10" ht="15" x14ac:dyDescent="0.25">
      <c r="A12" s="11" t="e">
        <f>'Calculating Allotment Percent'!#REF!/100</f>
        <v>#REF!</v>
      </c>
      <c r="B12" s="13" t="e">
        <f>MIN('Calculating Allotment Percent'!#REF!,C16)</f>
        <v>#REF!</v>
      </c>
      <c r="C12" s="9" t="e">
        <f>(B12*0.96)+(('Marketing Policy'!E7*1000)*0.98)+(('Marketing Policy'!E10*1000)*0.96)</f>
        <v>#REF!</v>
      </c>
      <c r="D12" s="10">
        <f>'Marketing Policy'!E21*1000</f>
        <v>10340000</v>
      </c>
      <c r="E12" s="14" t="e">
        <f>C12-D12</f>
        <v>#REF!</v>
      </c>
    </row>
    <row r="15" spans="1:10" x14ac:dyDescent="0.2">
      <c r="A15" s="15" t="s">
        <v>179</v>
      </c>
      <c r="B15" s="15"/>
    </row>
    <row r="16" spans="1:10" x14ac:dyDescent="0.2">
      <c r="A16" s="15" t="s">
        <v>186</v>
      </c>
      <c r="C16" s="9">
        <f>'Marketing Policy'!E9*1000</f>
        <v>8834000</v>
      </c>
      <c r="D16" s="15" t="s">
        <v>181</v>
      </c>
    </row>
    <row r="17" spans="1:2" x14ac:dyDescent="0.2">
      <c r="A17" s="15" t="s">
        <v>187</v>
      </c>
      <c r="B17" s="9" t="e">
        <f>'Calculating Allotment Percent'!#REF!</f>
        <v>#REF!</v>
      </c>
    </row>
  </sheetData>
  <mergeCells count="2">
    <mergeCell ref="A1:E1"/>
    <mergeCell ref="B4:E4"/>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0">
    <tabColor rgb="FFFF0000"/>
  </sheetPr>
  <dimension ref="A1:L38"/>
  <sheetViews>
    <sheetView zoomScale="60" zoomScaleNormal="60" workbookViewId="0">
      <pane xSplit="1" ySplit="4" topLeftCell="B5" activePane="bottomRight" state="frozen"/>
      <selection pane="topRight" activeCell="C1" sqref="C1"/>
      <selection pane="bottomLeft" activeCell="A5" sqref="A5"/>
      <selection pane="bottomRight" activeCell="N20" sqref="N20"/>
    </sheetView>
  </sheetViews>
  <sheetFormatPr defaultRowHeight="12.75" x14ac:dyDescent="0.2"/>
  <cols>
    <col min="1" max="1" width="4.42578125" customWidth="1"/>
    <col min="2" max="2" width="49.7109375" customWidth="1"/>
    <col min="3" max="3" width="20.140625" customWidth="1"/>
    <col min="4" max="4" width="18" customWidth="1"/>
    <col min="5" max="5" width="20.28515625" customWidth="1"/>
    <col min="7" max="7" width="26.42578125" customWidth="1"/>
  </cols>
  <sheetData>
    <row r="1" spans="1:12" ht="18.75" x14ac:dyDescent="0.3">
      <c r="A1" s="184"/>
      <c r="B1" s="191" t="s">
        <v>234</v>
      </c>
      <c r="C1" s="190"/>
      <c r="D1" s="190"/>
      <c r="E1" s="192"/>
      <c r="F1" s="184"/>
      <c r="G1" s="184"/>
      <c r="H1" s="184"/>
      <c r="I1" s="184"/>
      <c r="J1" s="184"/>
      <c r="K1" s="184"/>
      <c r="L1" s="184"/>
    </row>
    <row r="2" spans="1:12" ht="18.75" x14ac:dyDescent="0.3">
      <c r="A2" s="192"/>
      <c r="B2" s="191" t="s">
        <v>235</v>
      </c>
      <c r="C2" s="192" t="s">
        <v>236</v>
      </c>
      <c r="D2" s="192"/>
      <c r="E2" s="192" t="s">
        <v>237</v>
      </c>
      <c r="F2" s="184"/>
      <c r="G2" s="184"/>
      <c r="H2" s="184"/>
      <c r="I2" s="184"/>
      <c r="J2" s="184"/>
      <c r="K2" s="184"/>
      <c r="L2" s="184"/>
    </row>
    <row r="3" spans="1:12" ht="18.75" x14ac:dyDescent="0.3">
      <c r="A3" s="192"/>
      <c r="B3" s="193" t="s">
        <v>268</v>
      </c>
      <c r="C3" s="194">
        <v>1</v>
      </c>
      <c r="D3" s="195"/>
      <c r="E3" s="196">
        <f>100%-C3</f>
        <v>0</v>
      </c>
      <c r="F3" s="184"/>
      <c r="G3" s="184"/>
      <c r="H3" s="184"/>
      <c r="I3" s="184"/>
      <c r="J3" s="184"/>
      <c r="K3" s="184"/>
      <c r="L3" s="184"/>
    </row>
    <row r="4" spans="1:12" ht="57" customHeight="1" x14ac:dyDescent="0.35">
      <c r="A4" s="183"/>
      <c r="B4" s="197">
        <v>43143</v>
      </c>
      <c r="C4" s="189" t="s">
        <v>245</v>
      </c>
      <c r="D4" s="189" t="s">
        <v>14</v>
      </c>
      <c r="E4" s="189" t="s">
        <v>246</v>
      </c>
      <c r="F4" s="184"/>
      <c r="G4" s="158" t="s">
        <v>183</v>
      </c>
      <c r="H4" s="184"/>
      <c r="I4" s="184"/>
      <c r="J4" s="184"/>
      <c r="K4" s="184"/>
      <c r="L4" s="184"/>
    </row>
    <row r="5" spans="1:12" ht="18.75" x14ac:dyDescent="0.3">
      <c r="A5" s="176"/>
      <c r="B5" s="170"/>
      <c r="C5" s="868" t="s">
        <v>23</v>
      </c>
      <c r="D5" s="869"/>
      <c r="E5" s="870"/>
      <c r="F5" s="184"/>
      <c r="G5" s="184"/>
      <c r="H5" s="184"/>
      <c r="I5" s="184"/>
      <c r="J5" s="184"/>
      <c r="K5" s="184"/>
      <c r="L5" s="184"/>
    </row>
    <row r="6" spans="1:12" ht="29.25" customHeight="1" thickBot="1" x14ac:dyDescent="0.35">
      <c r="A6" s="171">
        <v>1</v>
      </c>
      <c r="B6" s="172" t="s">
        <v>190</v>
      </c>
      <c r="C6" s="173">
        <f>D6</f>
        <v>5562</v>
      </c>
      <c r="D6" s="174">
        <f>'Marketing Policy'!E7</f>
        <v>5562</v>
      </c>
      <c r="E6" s="175">
        <f>D6</f>
        <v>5562</v>
      </c>
      <c r="F6" s="185"/>
      <c r="G6" s="862" t="s">
        <v>238</v>
      </c>
      <c r="H6" s="862"/>
      <c r="I6" s="862"/>
      <c r="J6" s="862"/>
      <c r="K6" s="862"/>
      <c r="L6" s="862"/>
    </row>
    <row r="7" spans="1:12" ht="18.75" x14ac:dyDescent="0.3">
      <c r="A7" s="176"/>
      <c r="B7" s="177" t="s">
        <v>15</v>
      </c>
      <c r="C7" s="173"/>
      <c r="D7" s="174"/>
      <c r="E7" s="175"/>
      <c r="F7" s="184"/>
      <c r="G7" s="157"/>
      <c r="H7" s="156"/>
      <c r="I7" s="156"/>
      <c r="J7" s="156"/>
      <c r="K7" s="156"/>
      <c r="L7" s="156"/>
    </row>
    <row r="8" spans="1:12" ht="29.25" customHeight="1" thickBot="1" x14ac:dyDescent="0.35">
      <c r="A8" s="171">
        <v>2</v>
      </c>
      <c r="B8" s="172" t="s">
        <v>37</v>
      </c>
      <c r="C8" s="173">
        <f>D8-500</f>
        <v>8334</v>
      </c>
      <c r="D8" s="174">
        <f>('Marketing Policy'!E9)*C3</f>
        <v>8834</v>
      </c>
      <c r="E8" s="175">
        <f>D8+500</f>
        <v>9334</v>
      </c>
      <c r="F8" s="186"/>
      <c r="G8" s="864" t="s">
        <v>239</v>
      </c>
      <c r="H8" s="864"/>
      <c r="I8" s="864"/>
      <c r="J8" s="864"/>
      <c r="K8" s="864"/>
      <c r="L8" s="864"/>
    </row>
    <row r="9" spans="1:12" ht="29.25" customHeight="1" thickBot="1" x14ac:dyDescent="0.35">
      <c r="A9" s="171">
        <v>3</v>
      </c>
      <c r="B9" s="172" t="s">
        <v>16</v>
      </c>
      <c r="C9" s="173">
        <f>D9</f>
        <v>1765</v>
      </c>
      <c r="D9" s="174">
        <f>'Marketing Policy'!E10</f>
        <v>1765</v>
      </c>
      <c r="E9" s="175">
        <f>D9</f>
        <v>1765</v>
      </c>
      <c r="F9" s="186"/>
      <c r="G9" s="861" t="s">
        <v>240</v>
      </c>
      <c r="H9" s="861"/>
      <c r="I9" s="861"/>
      <c r="J9" s="861"/>
      <c r="K9" s="861"/>
      <c r="L9" s="861"/>
    </row>
    <row r="10" spans="1:12" ht="29.25" customHeight="1" thickBot="1" x14ac:dyDescent="0.35">
      <c r="A10" s="171">
        <v>4</v>
      </c>
      <c r="B10" s="172" t="s">
        <v>38</v>
      </c>
      <c r="C10" s="173">
        <f>(C8+C9)</f>
        <v>10099</v>
      </c>
      <c r="D10" s="174">
        <f>(D8+D9)</f>
        <v>10599</v>
      </c>
      <c r="E10" s="175">
        <f>(E8+E9)</f>
        <v>11099</v>
      </c>
      <c r="F10" s="186"/>
      <c r="G10" s="862" t="s">
        <v>213</v>
      </c>
      <c r="H10" s="862"/>
      <c r="I10" s="862"/>
      <c r="J10" s="862"/>
      <c r="K10" s="862"/>
      <c r="L10" s="862"/>
    </row>
    <row r="11" spans="1:12" ht="18.75" x14ac:dyDescent="0.3">
      <c r="A11" s="171"/>
      <c r="B11" s="172"/>
      <c r="C11" s="173"/>
      <c r="D11" s="174"/>
      <c r="E11" s="175"/>
      <c r="F11" s="184"/>
      <c r="G11" s="862"/>
      <c r="H11" s="862"/>
      <c r="I11" s="862"/>
      <c r="J11" s="862"/>
      <c r="K11" s="862"/>
      <c r="L11" s="862"/>
    </row>
    <row r="12" spans="1:12" ht="29.25" customHeight="1" thickBot="1" x14ac:dyDescent="0.35">
      <c r="A12" s="171">
        <v>5</v>
      </c>
      <c r="B12" s="172" t="s">
        <v>17</v>
      </c>
      <c r="C12" s="173">
        <f>(C6+C10)</f>
        <v>15661</v>
      </c>
      <c r="D12" s="174">
        <f>(D6+D10)</f>
        <v>16161</v>
      </c>
      <c r="E12" s="175">
        <f>(E6+E10)</f>
        <v>16661</v>
      </c>
      <c r="F12" s="186"/>
      <c r="G12" s="862" t="s">
        <v>217</v>
      </c>
      <c r="H12" s="862"/>
      <c r="I12" s="862"/>
      <c r="J12" s="862"/>
      <c r="K12" s="862"/>
      <c r="L12" s="862"/>
    </row>
    <row r="13" spans="1:12" ht="14.25" customHeight="1" x14ac:dyDescent="0.3">
      <c r="A13" s="171"/>
      <c r="B13" s="172"/>
      <c r="C13" s="173"/>
      <c r="D13" s="174"/>
      <c r="E13" s="175"/>
      <c r="F13" s="184"/>
      <c r="G13" s="862"/>
      <c r="H13" s="862"/>
      <c r="I13" s="862"/>
      <c r="J13" s="862"/>
      <c r="K13" s="862"/>
      <c r="L13" s="862"/>
    </row>
    <row r="14" spans="1:12" ht="18.75" x14ac:dyDescent="0.3">
      <c r="A14" s="178"/>
      <c r="B14" s="179" t="s">
        <v>18</v>
      </c>
      <c r="C14" s="173"/>
      <c r="D14" s="174"/>
      <c r="E14" s="175"/>
      <c r="F14" s="184"/>
      <c r="G14" s="157"/>
      <c r="H14" s="156"/>
      <c r="I14" s="156"/>
      <c r="J14" s="156"/>
      <c r="K14" s="156"/>
      <c r="L14" s="156"/>
    </row>
    <row r="15" spans="1:12" ht="29.25" customHeight="1" thickBot="1" x14ac:dyDescent="0.35">
      <c r="A15" s="171">
        <v>6</v>
      </c>
      <c r="B15" s="172" t="s">
        <v>214</v>
      </c>
      <c r="C15" s="173">
        <f>0.02*C6</f>
        <v>111.24000000000001</v>
      </c>
      <c r="D15" s="174">
        <f>0.02*D6</f>
        <v>111.24000000000001</v>
      </c>
      <c r="E15" s="175">
        <f>0.02*E6</f>
        <v>111.24000000000001</v>
      </c>
      <c r="F15" s="186"/>
      <c r="G15" s="157" t="s">
        <v>216</v>
      </c>
      <c r="H15" s="156"/>
      <c r="I15" s="156"/>
      <c r="J15" s="156"/>
      <c r="K15" s="156"/>
      <c r="L15" s="156"/>
    </row>
    <row r="16" spans="1:12" ht="29.25" customHeight="1" thickBot="1" x14ac:dyDescent="0.35">
      <c r="A16" s="171">
        <v>7</v>
      </c>
      <c r="B16" s="172" t="s">
        <v>109</v>
      </c>
      <c r="C16" s="173">
        <f>(0.04*C10)</f>
        <v>403.96000000000004</v>
      </c>
      <c r="D16" s="174">
        <f>(0.04*D10)</f>
        <v>423.96000000000004</v>
      </c>
      <c r="E16" s="175">
        <f>(0.04*E10)</f>
        <v>443.96000000000004</v>
      </c>
      <c r="F16" s="186"/>
      <c r="G16" s="861" t="s">
        <v>215</v>
      </c>
      <c r="H16" s="861"/>
      <c r="I16" s="861"/>
      <c r="J16" s="861"/>
      <c r="K16" s="861"/>
      <c r="L16" s="861"/>
    </row>
    <row r="17" spans="1:12" ht="18.75" x14ac:dyDescent="0.3">
      <c r="A17" s="171"/>
      <c r="B17" s="172"/>
      <c r="C17" s="173"/>
      <c r="D17" s="174"/>
      <c r="E17" s="175"/>
      <c r="F17" s="184"/>
      <c r="G17" s="157"/>
      <c r="H17" s="156"/>
      <c r="I17" s="156"/>
      <c r="J17" s="156"/>
      <c r="K17" s="156"/>
      <c r="L17" s="156"/>
    </row>
    <row r="18" spans="1:12" ht="29.25" customHeight="1" thickBot="1" x14ac:dyDescent="0.35">
      <c r="A18" s="171">
        <v>8</v>
      </c>
      <c r="B18" s="172" t="s">
        <v>39</v>
      </c>
      <c r="C18" s="173">
        <f>(C15+C16)</f>
        <v>515.20000000000005</v>
      </c>
      <c r="D18" s="174">
        <f>(D15+D16)</f>
        <v>535.20000000000005</v>
      </c>
      <c r="E18" s="175">
        <f>(E15+E16)</f>
        <v>555.20000000000005</v>
      </c>
      <c r="F18" s="186"/>
      <c r="G18" s="862" t="s">
        <v>222</v>
      </c>
      <c r="H18" s="862"/>
      <c r="I18" s="862"/>
      <c r="J18" s="862"/>
      <c r="K18" s="862"/>
      <c r="L18" s="862"/>
    </row>
    <row r="19" spans="1:12" ht="18.75" x14ac:dyDescent="0.3">
      <c r="A19" s="171"/>
      <c r="B19" s="172"/>
      <c r="C19" s="173"/>
      <c r="D19" s="174"/>
      <c r="E19" s="175"/>
      <c r="F19" s="184"/>
      <c r="G19" s="862"/>
      <c r="H19" s="862"/>
      <c r="I19" s="862"/>
      <c r="J19" s="862"/>
      <c r="K19" s="862"/>
      <c r="L19" s="862"/>
    </row>
    <row r="20" spans="1:12" ht="29.25" customHeight="1" thickBot="1" x14ac:dyDescent="0.35">
      <c r="A20" s="171">
        <v>9</v>
      </c>
      <c r="B20" s="172" t="s">
        <v>19</v>
      </c>
      <c r="C20" s="173">
        <f>(C12-C18)</f>
        <v>15145.8</v>
      </c>
      <c r="D20" s="174">
        <f>(D12-D18)</f>
        <v>15625.8</v>
      </c>
      <c r="E20" s="175">
        <f>(E12-E18)</f>
        <v>16105.8</v>
      </c>
      <c r="F20" s="186"/>
      <c r="G20" s="862" t="s">
        <v>218</v>
      </c>
      <c r="H20" s="862"/>
      <c r="I20" s="862"/>
      <c r="J20" s="862"/>
      <c r="K20" s="862"/>
      <c r="L20" s="862"/>
    </row>
    <row r="21" spans="1:12" ht="10.5" customHeight="1" x14ac:dyDescent="0.3">
      <c r="A21" s="171"/>
      <c r="B21" s="172"/>
      <c r="C21" s="173"/>
      <c r="D21" s="174"/>
      <c r="E21" s="175"/>
      <c r="F21" s="184"/>
      <c r="G21" s="862"/>
      <c r="H21" s="862"/>
      <c r="I21" s="862"/>
      <c r="J21" s="862"/>
      <c r="K21" s="862"/>
      <c r="L21" s="862"/>
    </row>
    <row r="22" spans="1:12" ht="18.75" x14ac:dyDescent="0.3">
      <c r="A22" s="176" t="s">
        <v>20</v>
      </c>
      <c r="B22" s="177" t="s">
        <v>21</v>
      </c>
      <c r="C22" s="173"/>
      <c r="D22" s="174"/>
      <c r="E22" s="175"/>
      <c r="F22" s="184"/>
      <c r="G22" s="157"/>
      <c r="H22" s="156"/>
      <c r="I22" s="156"/>
      <c r="J22" s="156"/>
      <c r="K22" s="156"/>
      <c r="L22" s="156"/>
    </row>
    <row r="23" spans="1:12" ht="29.25" customHeight="1" thickBot="1" x14ac:dyDescent="0.35">
      <c r="A23" s="171">
        <v>10</v>
      </c>
      <c r="B23" s="172" t="s">
        <v>40</v>
      </c>
      <c r="C23" s="173">
        <f>D23</f>
        <v>340</v>
      </c>
      <c r="D23" s="174">
        <f>'Marketing Policy'!E19</f>
        <v>340</v>
      </c>
      <c r="E23" s="175">
        <f>D23</f>
        <v>340</v>
      </c>
      <c r="F23" s="186"/>
      <c r="G23" s="157" t="s">
        <v>241</v>
      </c>
      <c r="H23" s="156"/>
      <c r="I23" s="156"/>
      <c r="J23" s="156"/>
      <c r="K23" s="156"/>
      <c r="L23" s="156"/>
    </row>
    <row r="24" spans="1:12" ht="29.25" customHeight="1" thickBot="1" x14ac:dyDescent="0.35">
      <c r="A24" s="171">
        <v>11</v>
      </c>
      <c r="B24" s="172" t="s">
        <v>41</v>
      </c>
      <c r="C24" s="173">
        <f>D24</f>
        <v>10000</v>
      </c>
      <c r="D24" s="174">
        <f>'Marketing Policy'!E20</f>
        <v>10000</v>
      </c>
      <c r="E24" s="175">
        <f>D24</f>
        <v>10000</v>
      </c>
      <c r="F24" s="186"/>
      <c r="G24" s="157" t="s">
        <v>242</v>
      </c>
      <c r="H24" s="156"/>
      <c r="I24" s="156"/>
      <c r="J24" s="156"/>
      <c r="K24" s="156"/>
      <c r="L24" s="156"/>
    </row>
    <row r="25" spans="1:12" ht="29.25" customHeight="1" thickBot="1" x14ac:dyDescent="0.35">
      <c r="A25" s="171">
        <v>12</v>
      </c>
      <c r="B25" s="172" t="s">
        <v>22</v>
      </c>
      <c r="C25" s="173">
        <f>SUM(C23,C24)</f>
        <v>10340</v>
      </c>
      <c r="D25" s="174">
        <f>SUM(D23,D24)</f>
        <v>10340</v>
      </c>
      <c r="E25" s="175">
        <f>SUM(E23,E24)</f>
        <v>10340</v>
      </c>
      <c r="F25" s="186"/>
      <c r="G25" s="861" t="s">
        <v>219</v>
      </c>
      <c r="H25" s="861"/>
      <c r="I25" s="861"/>
      <c r="J25" s="861"/>
      <c r="K25" s="861"/>
      <c r="L25" s="861"/>
    </row>
    <row r="26" spans="1:12" ht="29.25" customHeight="1" thickBot="1" x14ac:dyDescent="0.35">
      <c r="A26" s="171">
        <v>13</v>
      </c>
      <c r="B26" s="172" t="s">
        <v>221</v>
      </c>
      <c r="C26" s="173">
        <f>(C20-C25)</f>
        <v>4805.7999999999993</v>
      </c>
      <c r="D26" s="174">
        <f>(D20-D25)</f>
        <v>5285.7999999999993</v>
      </c>
      <c r="E26" s="175">
        <f>(E20-E25)</f>
        <v>5765.7999999999993</v>
      </c>
      <c r="F26" s="186"/>
      <c r="G26" s="862" t="s">
        <v>220</v>
      </c>
      <c r="H26" s="862"/>
      <c r="I26" s="862"/>
      <c r="J26" s="862"/>
      <c r="K26" s="862"/>
      <c r="L26" s="862"/>
    </row>
    <row r="27" spans="1:12" ht="18.75" x14ac:dyDescent="0.3">
      <c r="A27" s="171"/>
      <c r="B27" s="172"/>
      <c r="C27" s="173"/>
      <c r="D27" s="174"/>
      <c r="E27" s="175"/>
      <c r="F27" s="187"/>
      <c r="G27" s="862"/>
      <c r="H27" s="862"/>
      <c r="I27" s="862"/>
      <c r="J27" s="862"/>
      <c r="K27" s="862"/>
      <c r="L27" s="862"/>
    </row>
    <row r="28" spans="1:12" ht="29.25" customHeight="1" x14ac:dyDescent="0.3">
      <c r="A28" s="171">
        <v>14</v>
      </c>
      <c r="B28" s="172" t="s">
        <v>189</v>
      </c>
      <c r="C28" s="180">
        <f>(C26/C25)</f>
        <v>0.46477756286266919</v>
      </c>
      <c r="D28" s="181">
        <f t="shared" ref="D28:E28" si="0">(D26/D25)</f>
        <v>0.51119922630560921</v>
      </c>
      <c r="E28" s="182">
        <f t="shared" si="0"/>
        <v>0.55762088974854929</v>
      </c>
      <c r="F28" s="184"/>
      <c r="G28" s="862"/>
      <c r="H28" s="862"/>
      <c r="I28" s="862"/>
      <c r="J28" s="862"/>
      <c r="K28" s="862"/>
      <c r="L28" s="862"/>
    </row>
    <row r="29" spans="1:12" ht="18.75" hidden="1" x14ac:dyDescent="0.3">
      <c r="A29" s="198">
        <v>14</v>
      </c>
      <c r="B29" s="199" t="s">
        <v>42</v>
      </c>
      <c r="C29" s="200" t="s">
        <v>20</v>
      </c>
      <c r="D29" s="200">
        <v>3000</v>
      </c>
      <c r="E29" s="200"/>
      <c r="F29" s="184"/>
      <c r="G29" s="188"/>
      <c r="H29" s="188"/>
      <c r="I29" s="188"/>
      <c r="J29" s="188"/>
      <c r="K29" s="188"/>
      <c r="L29" s="188"/>
    </row>
    <row r="30" spans="1:12" ht="18.75" hidden="1" x14ac:dyDescent="0.3">
      <c r="A30" s="198"/>
      <c r="B30" s="199"/>
      <c r="C30" s="200"/>
      <c r="D30" s="200"/>
      <c r="E30" s="200"/>
      <c r="F30" s="184"/>
      <c r="G30" s="188"/>
      <c r="H30" s="188"/>
      <c r="I30" s="188"/>
      <c r="J30" s="188"/>
      <c r="K30" s="188"/>
      <c r="L30" s="188"/>
    </row>
    <row r="31" spans="1:12" ht="18.75" hidden="1" x14ac:dyDescent="0.3">
      <c r="A31" s="198">
        <v>15</v>
      </c>
      <c r="B31" s="199" t="s">
        <v>59</v>
      </c>
      <c r="C31" s="200" t="e">
        <f>C26-C29</f>
        <v>#VALUE!</v>
      </c>
      <c r="D31" s="200">
        <f>D26-D29</f>
        <v>2285.7999999999993</v>
      </c>
      <c r="E31" s="200"/>
      <c r="F31" s="184"/>
      <c r="G31" s="188"/>
      <c r="H31" s="188"/>
      <c r="I31" s="188"/>
      <c r="J31" s="188"/>
      <c r="K31" s="188"/>
      <c r="L31" s="188"/>
    </row>
    <row r="32" spans="1:12" ht="19.5" x14ac:dyDescent="0.3">
      <c r="A32" s="201"/>
      <c r="B32" s="201"/>
      <c r="C32" s="201"/>
      <c r="D32" s="184"/>
      <c r="E32" s="184"/>
      <c r="F32" s="184"/>
      <c r="G32" s="184"/>
      <c r="H32" s="184"/>
      <c r="I32" s="184"/>
      <c r="J32" s="184"/>
      <c r="K32" s="184"/>
      <c r="L32" s="184"/>
    </row>
    <row r="33" spans="1:12" ht="18.75" customHeight="1" x14ac:dyDescent="0.3">
      <c r="B33" s="863" t="s">
        <v>184</v>
      </c>
      <c r="C33" s="863"/>
      <c r="D33" s="863"/>
      <c r="E33" s="863"/>
      <c r="F33" s="202"/>
      <c r="G33" s="184"/>
      <c r="H33" s="184"/>
      <c r="I33" s="184"/>
      <c r="J33" s="184"/>
      <c r="K33" s="184"/>
      <c r="L33" s="184"/>
    </row>
    <row r="34" spans="1:12" ht="18.75" customHeight="1" x14ac:dyDescent="0.3">
      <c r="A34" s="203"/>
      <c r="B34" s="863"/>
      <c r="C34" s="863"/>
      <c r="D34" s="863"/>
      <c r="E34" s="863"/>
      <c r="F34" s="184"/>
      <c r="G34" s="184"/>
      <c r="H34" s="184"/>
      <c r="I34" s="184"/>
      <c r="J34" s="184"/>
      <c r="K34" s="184"/>
      <c r="L34" s="184"/>
    </row>
    <row r="35" spans="1:12" ht="18.75" customHeight="1" x14ac:dyDescent="0.3">
      <c r="A35" s="203"/>
      <c r="B35" s="863"/>
      <c r="C35" s="863"/>
      <c r="D35" s="863"/>
      <c r="E35" s="863"/>
      <c r="F35" s="184"/>
      <c r="G35" s="184"/>
      <c r="H35" s="184"/>
      <c r="I35" s="184"/>
      <c r="J35" s="184"/>
      <c r="K35" s="184"/>
      <c r="L35" s="184"/>
    </row>
    <row r="36" spans="1:12" ht="12.75" customHeight="1" x14ac:dyDescent="0.2">
      <c r="B36" s="863"/>
      <c r="C36" s="863"/>
      <c r="D36" s="863"/>
      <c r="E36" s="863"/>
    </row>
    <row r="37" spans="1:12" x14ac:dyDescent="0.2">
      <c r="B37" s="863"/>
      <c r="C37" s="863"/>
      <c r="D37" s="863"/>
      <c r="E37" s="863"/>
    </row>
    <row r="38" spans="1:12" x14ac:dyDescent="0.2">
      <c r="B38" s="863"/>
      <c r="C38" s="863"/>
      <c r="D38" s="863"/>
      <c r="E38" s="863"/>
    </row>
  </sheetData>
  <mergeCells count="12">
    <mergeCell ref="G12:L13"/>
    <mergeCell ref="C5:E5"/>
    <mergeCell ref="G6:L6"/>
    <mergeCell ref="G8:L8"/>
    <mergeCell ref="G9:L9"/>
    <mergeCell ref="G10:L11"/>
    <mergeCell ref="B33:E38"/>
    <mergeCell ref="G16:L16"/>
    <mergeCell ref="G18:L19"/>
    <mergeCell ref="G20:L21"/>
    <mergeCell ref="G25:L25"/>
    <mergeCell ref="G26:L2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G33"/>
  <sheetViews>
    <sheetView zoomScale="160" zoomScaleNormal="160" workbookViewId="0">
      <pane ySplit="1" topLeftCell="A11" activePane="bottomLeft" state="frozen"/>
      <selection pane="bottomLeft" activeCell="E25" sqref="E25"/>
    </sheetView>
  </sheetViews>
  <sheetFormatPr defaultRowHeight="12.75" x14ac:dyDescent="0.2"/>
  <cols>
    <col min="1" max="1" width="9.7109375" bestFit="1" customWidth="1"/>
    <col min="2" max="7" width="15.5703125" customWidth="1"/>
  </cols>
  <sheetData>
    <row r="1" spans="1:7" ht="14.25" x14ac:dyDescent="0.2">
      <c r="A1" s="156" t="s">
        <v>0</v>
      </c>
      <c r="B1" s="373" t="s">
        <v>69</v>
      </c>
      <c r="C1" s="373" t="s">
        <v>70</v>
      </c>
      <c r="D1" s="373" t="s">
        <v>71</v>
      </c>
      <c r="E1" s="373" t="s">
        <v>72</v>
      </c>
      <c r="F1" s="373" t="s">
        <v>73</v>
      </c>
      <c r="G1" s="373" t="s">
        <v>233</v>
      </c>
    </row>
    <row r="2" spans="1:7" ht="14.25" x14ac:dyDescent="0.2">
      <c r="A2" s="374">
        <v>2000</v>
      </c>
      <c r="B2" s="375">
        <v>13900</v>
      </c>
      <c r="C2" s="375">
        <v>3700</v>
      </c>
      <c r="D2" s="375">
        <v>2400</v>
      </c>
      <c r="E2" s="375">
        <v>1500</v>
      </c>
      <c r="F2" s="375">
        <v>15100</v>
      </c>
      <c r="G2" s="375">
        <v>36600</v>
      </c>
    </row>
    <row r="3" spans="1:7" ht="14.25" x14ac:dyDescent="0.2">
      <c r="A3" s="374">
        <v>2001</v>
      </c>
      <c r="B3" s="375">
        <v>12000</v>
      </c>
      <c r="C3" s="375">
        <v>3100</v>
      </c>
      <c r="D3" s="375">
        <v>2400</v>
      </c>
      <c r="E3" s="375">
        <v>1600</v>
      </c>
      <c r="F3" s="375">
        <v>16500</v>
      </c>
      <c r="G3" s="375">
        <v>35600</v>
      </c>
    </row>
    <row r="4" spans="1:7" ht="14.25" x14ac:dyDescent="0.2">
      <c r="A4" s="374">
        <v>2002</v>
      </c>
      <c r="B4" s="375">
        <v>14500</v>
      </c>
      <c r="C4" s="375">
        <v>3100</v>
      </c>
      <c r="D4" s="375">
        <v>2800</v>
      </c>
      <c r="E4" s="375">
        <v>1700</v>
      </c>
      <c r="F4" s="375">
        <v>17300</v>
      </c>
      <c r="G4" s="375">
        <v>39400</v>
      </c>
    </row>
    <row r="5" spans="1:7" ht="14.25" x14ac:dyDescent="0.2">
      <c r="A5" s="374">
        <v>2003</v>
      </c>
      <c r="B5" s="375">
        <v>14400</v>
      </c>
      <c r="C5" s="375">
        <v>3200</v>
      </c>
      <c r="D5" s="375">
        <v>2900</v>
      </c>
      <c r="E5" s="375">
        <v>1700</v>
      </c>
      <c r="F5" s="375">
        <v>17400</v>
      </c>
      <c r="G5" s="375">
        <v>39600</v>
      </c>
    </row>
    <row r="6" spans="1:7" ht="14.25" x14ac:dyDescent="0.2">
      <c r="A6" s="374">
        <v>2004</v>
      </c>
      <c r="B6" s="375">
        <v>14100</v>
      </c>
      <c r="C6" s="375">
        <v>3100</v>
      </c>
      <c r="D6" s="375">
        <v>2900</v>
      </c>
      <c r="E6" s="375">
        <v>1700</v>
      </c>
      <c r="F6" s="375">
        <v>17400</v>
      </c>
      <c r="G6" s="375">
        <v>39200</v>
      </c>
    </row>
    <row r="7" spans="1:7" ht="14.25" x14ac:dyDescent="0.2">
      <c r="A7" s="374">
        <v>2005</v>
      </c>
      <c r="B7" s="375">
        <v>14100</v>
      </c>
      <c r="C7" s="375">
        <v>3100</v>
      </c>
      <c r="D7" s="375">
        <v>2700</v>
      </c>
      <c r="E7" s="375">
        <v>1700</v>
      </c>
      <c r="F7" s="375">
        <v>17400</v>
      </c>
      <c r="G7" s="375">
        <v>39000</v>
      </c>
    </row>
    <row r="8" spans="1:7" ht="14.25" x14ac:dyDescent="0.2">
      <c r="A8" s="374">
        <v>2006</v>
      </c>
      <c r="B8" s="375">
        <v>14000</v>
      </c>
      <c r="C8" s="375">
        <v>3100</v>
      </c>
      <c r="D8" s="375">
        <v>2700</v>
      </c>
      <c r="E8" s="375">
        <v>1700</v>
      </c>
      <c r="F8" s="375">
        <v>17500</v>
      </c>
      <c r="G8" s="375">
        <v>39000</v>
      </c>
    </row>
    <row r="9" spans="1:7" ht="14.25" x14ac:dyDescent="0.2">
      <c r="A9" s="374">
        <v>2007</v>
      </c>
      <c r="B9" s="375">
        <v>13000</v>
      </c>
      <c r="C9" s="375">
        <v>3100</v>
      </c>
      <c r="D9" s="375">
        <v>2700</v>
      </c>
      <c r="E9" s="375">
        <v>1700</v>
      </c>
      <c r="F9" s="375">
        <v>17600</v>
      </c>
      <c r="G9" s="375">
        <v>38100</v>
      </c>
    </row>
    <row r="10" spans="1:7" ht="14.25" x14ac:dyDescent="0.2">
      <c r="A10" s="374">
        <v>2008</v>
      </c>
      <c r="B10" s="375">
        <v>13000</v>
      </c>
      <c r="C10" s="375">
        <v>3100</v>
      </c>
      <c r="D10" s="375">
        <v>2700</v>
      </c>
      <c r="E10" s="375">
        <v>1700</v>
      </c>
      <c r="F10" s="375">
        <v>17700</v>
      </c>
      <c r="G10" s="375">
        <v>38200</v>
      </c>
    </row>
    <row r="11" spans="1:7" ht="14.25" x14ac:dyDescent="0.2">
      <c r="A11" s="374">
        <v>2009</v>
      </c>
      <c r="B11" s="375">
        <v>13000</v>
      </c>
      <c r="C11" s="375">
        <v>3100</v>
      </c>
      <c r="D11" s="375">
        <v>2700</v>
      </c>
      <c r="E11" s="375">
        <v>1700</v>
      </c>
      <c r="F11" s="375">
        <v>18000</v>
      </c>
      <c r="G11" s="375">
        <v>38500</v>
      </c>
    </row>
    <row r="12" spans="1:7" ht="14.25" x14ac:dyDescent="0.2">
      <c r="A12" s="374">
        <v>2010</v>
      </c>
      <c r="B12" s="375">
        <v>13000</v>
      </c>
      <c r="C12" s="375">
        <v>3000</v>
      </c>
      <c r="D12" s="375">
        <v>2700</v>
      </c>
      <c r="E12" s="375">
        <v>1700</v>
      </c>
      <c r="F12" s="375">
        <v>18000</v>
      </c>
      <c r="G12" s="375">
        <v>38500</v>
      </c>
    </row>
    <row r="13" spans="1:7" ht="14.25" x14ac:dyDescent="0.2">
      <c r="A13" s="374">
        <v>2011</v>
      </c>
      <c r="B13" s="375">
        <v>13000</v>
      </c>
      <c r="C13" s="375">
        <v>3000</v>
      </c>
      <c r="D13" s="375">
        <v>2800</v>
      </c>
      <c r="E13" s="375">
        <v>1700</v>
      </c>
      <c r="F13" s="375">
        <v>18000</v>
      </c>
      <c r="G13" s="375">
        <v>38500</v>
      </c>
    </row>
    <row r="14" spans="1:7" ht="14.25" x14ac:dyDescent="0.2">
      <c r="A14" s="374">
        <v>2012</v>
      </c>
      <c r="B14" s="375">
        <v>13000</v>
      </c>
      <c r="C14" s="375">
        <v>3000</v>
      </c>
      <c r="D14" s="375">
        <v>2900</v>
      </c>
      <c r="E14" s="375">
        <v>1700</v>
      </c>
      <c r="F14" s="375">
        <v>19700</v>
      </c>
      <c r="G14" s="375">
        <v>40300</v>
      </c>
    </row>
    <row r="15" spans="1:7" ht="14.25" x14ac:dyDescent="0.2">
      <c r="A15" s="374">
        <v>2013</v>
      </c>
      <c r="B15" s="375">
        <v>13200</v>
      </c>
      <c r="C15" s="375">
        <v>3000</v>
      </c>
      <c r="D15" s="375">
        <v>3000</v>
      </c>
      <c r="E15" s="375">
        <v>1700</v>
      </c>
      <c r="F15" s="375">
        <v>21100</v>
      </c>
      <c r="G15" s="375">
        <v>42000</v>
      </c>
    </row>
    <row r="16" spans="1:7" ht="14.25" x14ac:dyDescent="0.2">
      <c r="A16" s="374">
        <v>2014</v>
      </c>
      <c r="B16" s="375">
        <v>12400</v>
      </c>
      <c r="C16" s="375">
        <v>3000</v>
      </c>
      <c r="D16" s="375">
        <v>2900</v>
      </c>
      <c r="E16" s="375">
        <v>1600</v>
      </c>
      <c r="F16" s="375">
        <v>20700</v>
      </c>
      <c r="G16" s="375">
        <v>40600</v>
      </c>
    </row>
    <row r="17" spans="1:7" ht="14.25" x14ac:dyDescent="0.2">
      <c r="A17" s="374">
        <v>2015</v>
      </c>
      <c r="B17" s="375">
        <v>13200</v>
      </c>
      <c r="C17" s="375">
        <v>3000</v>
      </c>
      <c r="D17" s="375">
        <v>2900</v>
      </c>
      <c r="E17" s="375">
        <v>1600</v>
      </c>
      <c r="F17" s="375">
        <v>20200</v>
      </c>
      <c r="G17" s="375">
        <v>40900</v>
      </c>
    </row>
    <row r="18" spans="1:7" ht="14.25" x14ac:dyDescent="0.2">
      <c r="A18" s="376">
        <v>2016</v>
      </c>
      <c r="B18" s="375">
        <v>12900</v>
      </c>
      <c r="C18" s="375">
        <v>3100</v>
      </c>
      <c r="D18" s="375">
        <v>2800</v>
      </c>
      <c r="E18" s="375">
        <v>1600</v>
      </c>
      <c r="F18" s="375">
        <v>21100</v>
      </c>
      <c r="G18" s="375">
        <v>41500</v>
      </c>
    </row>
    <row r="19" spans="1:7" ht="14.25" x14ac:dyDescent="0.2">
      <c r="A19" s="377">
        <v>2017</v>
      </c>
      <c r="B19" s="375">
        <v>12300</v>
      </c>
      <c r="C19" s="375">
        <v>2500</v>
      </c>
      <c r="D19" s="375">
        <v>2800</v>
      </c>
      <c r="E19" s="375">
        <v>1500</v>
      </c>
      <c r="F19" s="375">
        <v>20600</v>
      </c>
      <c r="G19" s="375">
        <v>39700</v>
      </c>
    </row>
    <row r="20" spans="1:7" ht="14.25" x14ac:dyDescent="0.2">
      <c r="A20" s="698">
        <v>2018</v>
      </c>
      <c r="B20" s="375">
        <v>12700</v>
      </c>
      <c r="C20" s="375">
        <v>3100</v>
      </c>
      <c r="D20" s="375">
        <v>2800</v>
      </c>
      <c r="E20" s="375">
        <v>1500</v>
      </c>
      <c r="F20" s="375">
        <v>20700</v>
      </c>
      <c r="G20" s="375">
        <f>SUM(B20:F20)</f>
        <v>40800</v>
      </c>
    </row>
    <row r="21" spans="1:7" ht="14.25" x14ac:dyDescent="0.2">
      <c r="A21" s="698" t="s">
        <v>361</v>
      </c>
      <c r="B21" s="375">
        <v>12700</v>
      </c>
      <c r="C21" s="375">
        <v>3100</v>
      </c>
      <c r="D21" s="375">
        <v>2800</v>
      </c>
      <c r="E21" s="375">
        <v>1500</v>
      </c>
      <c r="F21" s="375">
        <v>20700</v>
      </c>
      <c r="G21" s="375">
        <f>SUM(B21:F21)</f>
        <v>40800</v>
      </c>
    </row>
    <row r="22" spans="1:7" ht="14.25" x14ac:dyDescent="0.2">
      <c r="A22" s="698"/>
      <c r="B22" s="375"/>
      <c r="C22" s="375"/>
      <c r="D22" s="375"/>
      <c r="E22" s="375"/>
      <c r="F22" s="375"/>
      <c r="G22" s="375"/>
    </row>
    <row r="23" spans="1:7" ht="14.25" x14ac:dyDescent="0.2">
      <c r="A23" s="378"/>
      <c r="B23" s="379" t="s">
        <v>410</v>
      </c>
      <c r="C23" s="156"/>
      <c r="D23" s="156"/>
      <c r="E23" s="156"/>
      <c r="F23" s="156"/>
      <c r="G23" s="156"/>
    </row>
    <row r="24" spans="1:7" ht="14.25" x14ac:dyDescent="0.2">
      <c r="A24" s="378"/>
      <c r="B24" s="379" t="s">
        <v>362</v>
      </c>
      <c r="C24" s="156"/>
      <c r="D24" s="156"/>
      <c r="E24" s="156"/>
      <c r="F24" s="156"/>
      <c r="G24" s="156"/>
    </row>
    <row r="25" spans="1:7" ht="15" x14ac:dyDescent="0.25">
      <c r="A25" s="5"/>
      <c r="B25" s="699"/>
    </row>
    <row r="26" spans="1:7" x14ac:dyDescent="0.2">
      <c r="A26" s="5"/>
      <c r="B26" s="5"/>
    </row>
    <row r="27" spans="1:7" x14ac:dyDescent="0.2">
      <c r="A27" s="5"/>
      <c r="B27" s="5"/>
    </row>
    <row r="28" spans="1:7" x14ac:dyDescent="0.2">
      <c r="B28" s="5"/>
    </row>
    <row r="29" spans="1:7" x14ac:dyDescent="0.2">
      <c r="B29" s="5"/>
    </row>
    <row r="30" spans="1:7" x14ac:dyDescent="0.2">
      <c r="B30" s="5"/>
    </row>
    <row r="31" spans="1:7" x14ac:dyDescent="0.2">
      <c r="B31" s="5"/>
    </row>
    <row r="32" spans="1:7" x14ac:dyDescent="0.2">
      <c r="B32" s="5"/>
    </row>
    <row r="33" spans="2:2" x14ac:dyDescent="0.2">
      <c r="B33" s="5"/>
    </row>
  </sheetData>
  <pageMargins left="0.75" right="0.75" top="1" bottom="0.75" header="0.55000000000000004" footer="0"/>
  <pageSetup fitToHeight="0" orientation="landscape" r:id="rId1"/>
  <headerFooter alignWithMargins="0">
    <oddHeader>&amp;LUS Cranberry Acreage</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0000"/>
    <pageSetUpPr fitToPage="1"/>
  </sheetPr>
  <dimension ref="A1:G23"/>
  <sheetViews>
    <sheetView zoomScale="170" zoomScaleNormal="170" zoomScalePageLayoutView="80" workbookViewId="0">
      <pane ySplit="1" topLeftCell="A10" activePane="bottomLeft" state="frozen"/>
      <selection pane="bottomLeft" activeCell="B25" sqref="B25"/>
    </sheetView>
  </sheetViews>
  <sheetFormatPr defaultRowHeight="12.75" x14ac:dyDescent="0.2"/>
  <cols>
    <col min="1" max="1" width="11.28515625" customWidth="1"/>
    <col min="2" max="7" width="15.5703125" customWidth="1"/>
  </cols>
  <sheetData>
    <row r="1" spans="1:7" ht="14.25" x14ac:dyDescent="0.2">
      <c r="A1" s="156" t="s">
        <v>0</v>
      </c>
      <c r="B1" s="373" t="s">
        <v>69</v>
      </c>
      <c r="C1" s="373" t="s">
        <v>70</v>
      </c>
      <c r="D1" s="373" t="s">
        <v>71</v>
      </c>
      <c r="E1" s="373" t="s">
        <v>72</v>
      </c>
      <c r="F1" s="373" t="s">
        <v>73</v>
      </c>
      <c r="G1" s="373" t="s">
        <v>233</v>
      </c>
    </row>
    <row r="2" spans="1:7" ht="14.25" x14ac:dyDescent="0.2">
      <c r="A2" s="374">
        <v>2000</v>
      </c>
      <c r="B2" s="452">
        <v>140.5</v>
      </c>
      <c r="C2" s="452">
        <v>132.19999999999999</v>
      </c>
      <c r="D2" s="452">
        <v>165.8</v>
      </c>
      <c r="E2" s="452">
        <v>120</v>
      </c>
      <c r="F2" s="452">
        <v>178.3</v>
      </c>
      <c r="G2" s="452">
        <v>156.1</v>
      </c>
    </row>
    <row r="3" spans="1:7" ht="14.25" x14ac:dyDescent="0.2">
      <c r="A3" s="374">
        <v>2001</v>
      </c>
      <c r="B3" s="452">
        <v>118</v>
      </c>
      <c r="C3" s="452">
        <v>182.6</v>
      </c>
      <c r="D3" s="452">
        <v>152.1</v>
      </c>
      <c r="E3" s="452">
        <v>88.8</v>
      </c>
      <c r="F3" s="452">
        <v>172.1</v>
      </c>
      <c r="G3" s="452">
        <v>149.69999999999999</v>
      </c>
    </row>
    <row r="4" spans="1:7" ht="14.25" x14ac:dyDescent="0.2">
      <c r="A4" s="374">
        <v>2002</v>
      </c>
      <c r="B4" s="452">
        <v>100.1</v>
      </c>
      <c r="C4" s="452">
        <v>138.69999999999999</v>
      </c>
      <c r="D4" s="452">
        <v>154.30000000000001</v>
      </c>
      <c r="E4" s="452">
        <v>98.2</v>
      </c>
      <c r="F4" s="452">
        <v>185.4</v>
      </c>
      <c r="G4" s="452">
        <v>144.4</v>
      </c>
    </row>
    <row r="5" spans="1:7" ht="14.25" x14ac:dyDescent="0.2">
      <c r="A5" s="374">
        <v>2003</v>
      </c>
      <c r="B5" s="452">
        <v>97.6</v>
      </c>
      <c r="C5" s="452">
        <v>150</v>
      </c>
      <c r="D5" s="452">
        <v>172.4</v>
      </c>
      <c r="E5" s="452">
        <v>111.8</v>
      </c>
      <c r="F5" s="452">
        <v>207.3</v>
      </c>
      <c r="G5" s="452">
        <v>156.1</v>
      </c>
    </row>
    <row r="6" spans="1:7" ht="14.25" x14ac:dyDescent="0.2">
      <c r="A6" s="374">
        <v>2004</v>
      </c>
      <c r="B6" s="452">
        <v>128.19999999999999</v>
      </c>
      <c r="C6" s="452">
        <v>129.69999999999999</v>
      </c>
      <c r="D6" s="452">
        <v>170.7</v>
      </c>
      <c r="E6" s="452">
        <v>100</v>
      </c>
      <c r="F6" s="452">
        <v>189.7</v>
      </c>
      <c r="G6" s="452">
        <v>157.5</v>
      </c>
    </row>
    <row r="7" spans="1:7" ht="14.25" x14ac:dyDescent="0.2">
      <c r="A7" s="374">
        <v>2005</v>
      </c>
      <c r="B7" s="452">
        <v>100.9</v>
      </c>
      <c r="C7" s="452">
        <v>171.9</v>
      </c>
      <c r="D7" s="452">
        <v>163</v>
      </c>
      <c r="E7" s="452">
        <v>110</v>
      </c>
      <c r="F7" s="452">
        <v>210.3</v>
      </c>
      <c r="G7" s="452">
        <v>160.1</v>
      </c>
    </row>
    <row r="8" spans="1:7" ht="14.25" x14ac:dyDescent="0.2">
      <c r="A8" s="374">
        <v>2006</v>
      </c>
      <c r="B8" s="452">
        <v>135.4</v>
      </c>
      <c r="C8" s="452">
        <v>156.5</v>
      </c>
      <c r="D8" s="452">
        <v>172.2</v>
      </c>
      <c r="E8" s="452">
        <v>67.099999999999994</v>
      </c>
      <c r="F8" s="452">
        <v>225.1</v>
      </c>
      <c r="G8" s="452">
        <v>176.9</v>
      </c>
    </row>
    <row r="9" spans="1:7" ht="14.25" x14ac:dyDescent="0.2">
      <c r="A9" s="374">
        <v>2007</v>
      </c>
      <c r="B9" s="452">
        <v>117.1</v>
      </c>
      <c r="C9" s="452">
        <v>171.3</v>
      </c>
      <c r="D9" s="452">
        <v>183.3</v>
      </c>
      <c r="E9" s="452">
        <v>103.5</v>
      </c>
      <c r="F9" s="452">
        <v>217.6</v>
      </c>
      <c r="G9" s="452">
        <v>172</v>
      </c>
    </row>
    <row r="10" spans="1:7" ht="14.25" x14ac:dyDescent="0.2">
      <c r="A10" s="374">
        <v>2008</v>
      </c>
      <c r="B10" s="452">
        <v>182.6</v>
      </c>
      <c r="C10" s="452">
        <v>165.2</v>
      </c>
      <c r="D10" s="452">
        <v>148.1</v>
      </c>
      <c r="E10" s="452">
        <v>64.099999999999994</v>
      </c>
      <c r="F10" s="452">
        <v>252.5</v>
      </c>
      <c r="G10" s="452">
        <v>205.9</v>
      </c>
    </row>
    <row r="11" spans="1:7" ht="14.25" x14ac:dyDescent="0.2">
      <c r="A11" s="374">
        <v>2009</v>
      </c>
      <c r="B11" s="452">
        <v>139.80000000000001</v>
      </c>
      <c r="C11" s="452">
        <v>179</v>
      </c>
      <c r="D11" s="452">
        <v>159.30000000000001</v>
      </c>
      <c r="E11" s="452">
        <v>94.7</v>
      </c>
      <c r="F11" s="452">
        <v>219.4</v>
      </c>
      <c r="G11" s="452">
        <v>179.6</v>
      </c>
    </row>
    <row r="12" spans="1:7" ht="14.25" x14ac:dyDescent="0.2">
      <c r="A12" s="374">
        <v>2010</v>
      </c>
      <c r="B12" s="452">
        <v>145.5</v>
      </c>
      <c r="C12" s="452">
        <v>181.3</v>
      </c>
      <c r="D12" s="452">
        <v>106.3</v>
      </c>
      <c r="E12" s="452">
        <v>63.6</v>
      </c>
      <c r="F12" s="452">
        <v>220</v>
      </c>
      <c r="G12" s="452">
        <v>176.8</v>
      </c>
    </row>
    <row r="13" spans="1:7" ht="14.25" x14ac:dyDescent="0.2">
      <c r="A13" s="374">
        <v>2011</v>
      </c>
      <c r="B13" s="452">
        <v>178.1</v>
      </c>
      <c r="C13" s="452">
        <v>170</v>
      </c>
      <c r="D13" s="452">
        <v>128.9</v>
      </c>
      <c r="E13" s="452">
        <v>68.099999999999994</v>
      </c>
      <c r="F13" s="452">
        <v>245</v>
      </c>
      <c r="G13" s="452">
        <v>200.3</v>
      </c>
    </row>
    <row r="14" spans="1:7" ht="14.25" x14ac:dyDescent="0.2">
      <c r="A14" s="374">
        <v>2012</v>
      </c>
      <c r="B14" s="452">
        <v>163.30000000000001</v>
      </c>
      <c r="C14" s="452">
        <v>183.3</v>
      </c>
      <c r="D14" s="452">
        <v>139.69999999999999</v>
      </c>
      <c r="E14" s="452">
        <v>80.599999999999994</v>
      </c>
      <c r="F14" s="452">
        <v>245.2</v>
      </c>
      <c r="G14" s="452">
        <v>199.6</v>
      </c>
    </row>
    <row r="15" spans="1:7" ht="14.25" x14ac:dyDescent="0.2">
      <c r="A15" s="374">
        <v>2013</v>
      </c>
      <c r="B15" s="452">
        <v>138.5</v>
      </c>
      <c r="C15" s="452">
        <v>180.8</v>
      </c>
      <c r="D15" s="452">
        <v>130</v>
      </c>
      <c r="E15" s="452">
        <v>89.4</v>
      </c>
      <c r="F15" s="452">
        <v>282.8</v>
      </c>
      <c r="G15" s="452">
        <v>211.4</v>
      </c>
    </row>
    <row r="16" spans="1:7" ht="14.25" x14ac:dyDescent="0.2">
      <c r="A16" s="374">
        <v>2014</v>
      </c>
      <c r="B16" s="452">
        <f>'Cycle Report'!J310/Acreage!B16</f>
        <v>152.78088709677419</v>
      </c>
      <c r="C16" s="452">
        <f>'Cycle Report'!J311/Acreage!C16</f>
        <v>190.28066666666666</v>
      </c>
      <c r="D16" s="452">
        <f>'Cycle Report'!J312/Acreage!D16</f>
        <v>169.87896551724137</v>
      </c>
      <c r="E16" s="452">
        <f>'Cycle Report'!J313/Acreage!E16</f>
        <v>93.676874999999995</v>
      </c>
      <c r="F16" s="452">
        <f>'Cycle Report'!J314/Acreage!F16</f>
        <v>237.85410628019324</v>
      </c>
      <c r="G16" s="452">
        <f>'Cycle Report'!J316/Acreage!G16</f>
        <v>198.49125615763546</v>
      </c>
    </row>
    <row r="17" spans="1:7" ht="14.25" x14ac:dyDescent="0.2">
      <c r="A17" s="374">
        <v>2015</v>
      </c>
      <c r="B17" s="452">
        <f>'Cycle Report'!K310/Acreage!B17</f>
        <v>165.94060606060606</v>
      </c>
      <c r="C17" s="452">
        <f>'Cycle Report'!K311/Acreage!C17</f>
        <v>146.09633333333332</v>
      </c>
      <c r="D17" s="452">
        <f>'Cycle Report'!K312/Acreage!D17</f>
        <v>188.60310344827587</v>
      </c>
      <c r="E17" s="452">
        <f>'Cycle Report'!K313/Acreage!E17</f>
        <v>122.55312499999999</v>
      </c>
      <c r="F17" s="452">
        <f>'Cycle Report'!K314/Acreage!F17</f>
        <v>232.03846534653465</v>
      </c>
      <c r="G17" s="452">
        <f>'Cycle Report'!K316/Acreage!G17</f>
        <v>197.04271393643032</v>
      </c>
    </row>
    <row r="18" spans="1:7" ht="14.25" x14ac:dyDescent="0.2">
      <c r="A18" s="376">
        <v>2016</v>
      </c>
      <c r="B18" s="452">
        <f>'Cycle Report'!L310/Acreage!B18</f>
        <v>162.98961240310078</v>
      </c>
      <c r="C18" s="452">
        <f>'Cycle Report'!L311/Acreage!C18</f>
        <v>185.54580645161289</v>
      </c>
      <c r="D18" s="452">
        <f>'Cycle Report'!L312/Acreage!D18</f>
        <v>135.52071428571429</v>
      </c>
      <c r="E18" s="452">
        <f>'Cycle Report'!L313/Acreage!E18</f>
        <v>99.671875</v>
      </c>
      <c r="F18" s="452">
        <f>'Cycle Report'!L314/Acreage!F18</f>
        <v>286.29559241706158</v>
      </c>
      <c r="G18" s="452">
        <f>'Cycle Report'!L316/Acreage!G18</f>
        <v>223.07819277108433</v>
      </c>
    </row>
    <row r="19" spans="1:7" ht="14.25" x14ac:dyDescent="0.2">
      <c r="A19" s="374">
        <v>2017</v>
      </c>
      <c r="B19" s="453">
        <f>'Cycle Report'!M310/Acreage!B19</f>
        <v>142.97495934959349</v>
      </c>
      <c r="C19" s="452">
        <f>'Cycle Report'!M311/Acreage!C19</f>
        <v>169.13200000000001</v>
      </c>
      <c r="D19" s="452">
        <f>'Cycle Report'!M312/Acreage!D19</f>
        <v>169.41392857142858</v>
      </c>
      <c r="E19" s="452">
        <f>'Cycle Report'!M313/Acreage!E19</f>
        <v>87.12266666666666</v>
      </c>
      <c r="F19" s="452">
        <f>'Cycle Report'!M314/Acreage!F19</f>
        <v>258.996359223301</v>
      </c>
      <c r="G19" s="452">
        <f>'Cycle Report'!M316/Acreage!G19</f>
        <v>204.58403022670026</v>
      </c>
    </row>
    <row r="20" spans="1:7" ht="14.25" x14ac:dyDescent="0.2">
      <c r="A20" s="698">
        <v>2018</v>
      </c>
      <c r="B20" s="453">
        <v>176</v>
      </c>
      <c r="C20" s="453">
        <v>144</v>
      </c>
      <c r="D20" s="453">
        <v>194</v>
      </c>
      <c r="E20" s="453">
        <v>121</v>
      </c>
      <c r="F20" s="453">
        <v>255</v>
      </c>
      <c r="G20" s="453">
        <v>213</v>
      </c>
    </row>
    <row r="21" spans="1:7" ht="14.25" x14ac:dyDescent="0.2">
      <c r="A21" s="156"/>
      <c r="B21" s="156"/>
      <c r="C21" s="156"/>
      <c r="D21" s="156"/>
      <c r="E21" s="156"/>
      <c r="F21" s="156"/>
      <c r="G21" s="156"/>
    </row>
    <row r="22" spans="1:7" ht="14.25" x14ac:dyDescent="0.2">
      <c r="A22" s="156"/>
      <c r="B22" s="156"/>
      <c r="C22" s="156"/>
      <c r="D22" s="156"/>
      <c r="E22" s="156"/>
      <c r="F22" s="156"/>
      <c r="G22" s="156"/>
    </row>
    <row r="23" spans="1:7" ht="14.25" x14ac:dyDescent="0.2">
      <c r="A23" s="156"/>
      <c r="B23" s="454" t="s">
        <v>411</v>
      </c>
      <c r="C23" s="156"/>
      <c r="D23" s="156"/>
      <c r="E23" s="156"/>
      <c r="F23" s="156"/>
      <c r="G23" s="156"/>
    </row>
  </sheetData>
  <pageMargins left="0.7" right="0.7" top="1" bottom="0.75" header="0.55000000000000004" footer="0.3"/>
  <pageSetup fitToHeight="0" orientation="landscape" r:id="rId1"/>
  <headerFooter>
    <oddHeader>&amp;LUS Cranberry Yields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pageSetUpPr fitToPage="1"/>
  </sheetPr>
  <dimension ref="B1:G44"/>
  <sheetViews>
    <sheetView tabSelected="1" zoomScale="80" zoomScaleNormal="80" workbookViewId="0">
      <pane xSplit="1" ySplit="6" topLeftCell="B34" activePane="bottomRight" state="frozen"/>
      <selection activeCell="H171" sqref="H171"/>
      <selection pane="topRight" activeCell="H171" sqref="H171"/>
      <selection pane="bottomLeft" activeCell="H171" sqref="H171"/>
      <selection pane="bottomRight" activeCell="D45" sqref="D45"/>
    </sheetView>
  </sheetViews>
  <sheetFormatPr defaultColWidth="9.140625" defaultRowHeight="30" x14ac:dyDescent="0.4"/>
  <cols>
    <col min="1" max="1" width="3.5703125" style="152" customWidth="1"/>
    <col min="2" max="2" width="61.42578125" style="152" customWidth="1"/>
    <col min="3" max="3" width="35.85546875" style="152" customWidth="1"/>
    <col min="4" max="4" width="32.28515625" style="152" customWidth="1"/>
    <col min="5" max="16384" width="9.140625" style="152"/>
  </cols>
  <sheetData>
    <row r="1" spans="2:4" ht="25.5" customHeight="1" x14ac:dyDescent="0.4">
      <c r="B1" s="819" t="s">
        <v>334</v>
      </c>
      <c r="C1" s="820"/>
      <c r="D1" s="821"/>
    </row>
    <row r="2" spans="2:4" ht="20.25" customHeight="1" x14ac:dyDescent="0.4">
      <c r="B2" s="822" t="s">
        <v>1</v>
      </c>
      <c r="C2" s="823"/>
      <c r="D2" s="824"/>
    </row>
    <row r="3" spans="2:4" ht="21.75" customHeight="1" x14ac:dyDescent="0.4">
      <c r="B3" s="825">
        <v>43696</v>
      </c>
      <c r="C3" s="826"/>
      <c r="D3" s="827"/>
    </row>
    <row r="4" spans="2:4" ht="20.25" customHeight="1" x14ac:dyDescent="0.4">
      <c r="B4" s="828"/>
      <c r="C4" s="829"/>
      <c r="D4" s="830"/>
    </row>
    <row r="5" spans="2:4" ht="77.45" customHeight="1" x14ac:dyDescent="0.4">
      <c r="B5" s="165"/>
      <c r="C5" s="160" t="s">
        <v>227</v>
      </c>
      <c r="D5" s="160" t="s">
        <v>360</v>
      </c>
    </row>
    <row r="6" spans="2:4" ht="30.75" customHeight="1" x14ac:dyDescent="0.4">
      <c r="B6" s="166"/>
      <c r="C6" s="380" t="s">
        <v>23</v>
      </c>
      <c r="D6" s="161" t="s">
        <v>23</v>
      </c>
    </row>
    <row r="7" spans="2:4" x14ac:dyDescent="0.4">
      <c r="B7" s="167" t="s">
        <v>2</v>
      </c>
      <c r="C7" s="162"/>
      <c r="D7" s="168"/>
    </row>
    <row r="8" spans="2:4" x14ac:dyDescent="0.4">
      <c r="B8" s="167" t="s">
        <v>53</v>
      </c>
      <c r="C8" s="163">
        <v>2100</v>
      </c>
      <c r="D8" s="163">
        <v>2150</v>
      </c>
    </row>
    <row r="9" spans="2:4" x14ac:dyDescent="0.4">
      <c r="B9" s="167" t="s">
        <v>54</v>
      </c>
      <c r="C9" s="163">
        <v>1950</v>
      </c>
      <c r="D9" s="163">
        <v>2100</v>
      </c>
    </row>
    <row r="10" spans="2:4" x14ac:dyDescent="0.4">
      <c r="B10" s="167" t="s">
        <v>266</v>
      </c>
      <c r="C10" s="163">
        <v>1890</v>
      </c>
      <c r="D10" s="163">
        <v>1900</v>
      </c>
    </row>
    <row r="11" spans="2:4" x14ac:dyDescent="0.4">
      <c r="B11" s="167" t="s">
        <v>35</v>
      </c>
      <c r="C11" s="163">
        <v>2100</v>
      </c>
      <c r="D11" s="163">
        <v>2200</v>
      </c>
    </row>
    <row r="12" spans="2:4" x14ac:dyDescent="0.4">
      <c r="B12" s="167" t="s">
        <v>247</v>
      </c>
      <c r="C12" s="163">
        <v>2000</v>
      </c>
      <c r="D12" s="163">
        <v>2100</v>
      </c>
    </row>
    <row r="13" spans="2:4" x14ac:dyDescent="0.4">
      <c r="B13" s="167" t="s">
        <v>412</v>
      </c>
      <c r="C13" s="163">
        <v>2100</v>
      </c>
      <c r="D13" s="163">
        <v>2100</v>
      </c>
    </row>
    <row r="14" spans="2:4" x14ac:dyDescent="0.4">
      <c r="B14" s="167" t="s">
        <v>44</v>
      </c>
      <c r="C14" s="163">
        <v>2100</v>
      </c>
      <c r="D14" s="163">
        <v>2100</v>
      </c>
    </row>
    <row r="15" spans="2:4" x14ac:dyDescent="0.4">
      <c r="B15" s="167" t="s">
        <v>4</v>
      </c>
      <c r="C15" s="163">
        <f>AVERAGE(C8:C14)</f>
        <v>2034.2857142857142</v>
      </c>
      <c r="D15" s="163">
        <f>AVERAGE(D8:D14)</f>
        <v>2092.8571428571427</v>
      </c>
    </row>
    <row r="16" spans="2:4" ht="6.95" customHeight="1" x14ac:dyDescent="0.4">
      <c r="B16" s="167"/>
      <c r="C16" s="162"/>
      <c r="D16" s="168"/>
    </row>
    <row r="17" spans="2:7" x14ac:dyDescent="0.4">
      <c r="B17" s="295" t="s">
        <v>3</v>
      </c>
      <c r="C17" s="296"/>
      <c r="D17" s="729"/>
    </row>
    <row r="18" spans="2:7" x14ac:dyDescent="0.4">
      <c r="B18" s="295" t="s">
        <v>223</v>
      </c>
      <c r="C18" s="297">
        <v>490</v>
      </c>
      <c r="D18" s="728">
        <v>480</v>
      </c>
    </row>
    <row r="19" spans="2:7" x14ac:dyDescent="0.4">
      <c r="B19" s="295" t="s">
        <v>5</v>
      </c>
      <c r="C19" s="297">
        <v>510</v>
      </c>
      <c r="D19" s="728">
        <v>480</v>
      </c>
    </row>
    <row r="20" spans="2:7" x14ac:dyDescent="0.4">
      <c r="B20" s="295" t="s">
        <v>248</v>
      </c>
      <c r="C20" s="297">
        <v>520</v>
      </c>
      <c r="D20" s="728">
        <v>520</v>
      </c>
      <c r="G20" s="152" t="s">
        <v>20</v>
      </c>
    </row>
    <row r="21" spans="2:7" x14ac:dyDescent="0.4">
      <c r="B21" s="295" t="s">
        <v>267</v>
      </c>
      <c r="C21" s="297">
        <v>490</v>
      </c>
      <c r="D21" s="728">
        <v>480</v>
      </c>
    </row>
    <row r="22" spans="2:7" ht="24" customHeight="1" x14ac:dyDescent="0.4">
      <c r="B22" s="295" t="s">
        <v>6</v>
      </c>
      <c r="C22" s="297">
        <f>AVERAGE(C18:C21)</f>
        <v>502.5</v>
      </c>
      <c r="D22" s="297">
        <f>AVERAGE(D18:D21)</f>
        <v>490</v>
      </c>
    </row>
    <row r="23" spans="2:7" ht="6.95" customHeight="1" x14ac:dyDescent="0.4">
      <c r="B23" s="167"/>
      <c r="C23" s="162"/>
      <c r="D23" s="168"/>
    </row>
    <row r="24" spans="2:7" x14ac:dyDescent="0.4">
      <c r="B24" s="167" t="s">
        <v>7</v>
      </c>
      <c r="C24" s="162"/>
      <c r="D24" s="168"/>
    </row>
    <row r="25" spans="2:7" x14ac:dyDescent="0.4">
      <c r="B25" s="167" t="s">
        <v>36</v>
      </c>
      <c r="C25" s="163">
        <v>5800</v>
      </c>
      <c r="D25" s="163">
        <v>5600</v>
      </c>
    </row>
    <row r="26" spans="2:7" x14ac:dyDescent="0.4">
      <c r="B26" s="167" t="s">
        <v>298</v>
      </c>
      <c r="C26" s="163">
        <v>5750</v>
      </c>
      <c r="D26" s="163">
        <v>5750</v>
      </c>
    </row>
    <row r="27" spans="2:7" x14ac:dyDescent="0.4">
      <c r="B27" s="167" t="s">
        <v>8</v>
      </c>
      <c r="C27" s="163">
        <v>5400</v>
      </c>
      <c r="D27" s="163">
        <v>5500</v>
      </c>
    </row>
    <row r="28" spans="2:7" x14ac:dyDescent="0.4">
      <c r="B28" s="167" t="s">
        <v>232</v>
      </c>
      <c r="C28" s="163">
        <v>5700</v>
      </c>
      <c r="D28" s="163">
        <v>5500</v>
      </c>
    </row>
    <row r="29" spans="2:7" x14ac:dyDescent="0.4">
      <c r="B29" s="167" t="s">
        <v>299</v>
      </c>
      <c r="C29" s="163">
        <v>5500</v>
      </c>
      <c r="D29" s="163">
        <v>5300</v>
      </c>
    </row>
    <row r="30" spans="2:7" x14ac:dyDescent="0.4">
      <c r="B30" s="167" t="s">
        <v>106</v>
      </c>
      <c r="C30" s="163">
        <v>5800</v>
      </c>
      <c r="D30" s="163">
        <v>5500</v>
      </c>
    </row>
    <row r="31" spans="2:7" x14ac:dyDescent="0.4">
      <c r="B31" s="167" t="s">
        <v>43</v>
      </c>
      <c r="C31" s="163">
        <v>5600</v>
      </c>
      <c r="D31" s="163">
        <v>5600</v>
      </c>
    </row>
    <row r="32" spans="2:7" x14ac:dyDescent="0.4">
      <c r="B32" s="167" t="s">
        <v>9</v>
      </c>
      <c r="C32" s="163">
        <f>AVERAGE(C25:C31)</f>
        <v>5650</v>
      </c>
      <c r="D32" s="163">
        <f>AVERAGE(D25:D31)</f>
        <v>5535.7142857142853</v>
      </c>
    </row>
    <row r="33" spans="2:4" ht="6.95" customHeight="1" x14ac:dyDescent="0.4">
      <c r="B33" s="167"/>
      <c r="C33" s="162"/>
      <c r="D33" s="168"/>
    </row>
    <row r="34" spans="2:4" x14ac:dyDescent="0.4">
      <c r="B34" s="295" t="s">
        <v>10</v>
      </c>
      <c r="C34" s="296"/>
      <c r="D34" s="727"/>
    </row>
    <row r="35" spans="2:4" x14ac:dyDescent="0.4">
      <c r="B35" s="295" t="s">
        <v>300</v>
      </c>
      <c r="C35" s="297">
        <v>500</v>
      </c>
      <c r="D35" s="728">
        <v>580</v>
      </c>
    </row>
    <row r="36" spans="2:4" x14ac:dyDescent="0.4">
      <c r="B36" s="295" t="s">
        <v>301</v>
      </c>
      <c r="C36" s="297">
        <v>480</v>
      </c>
      <c r="D36" s="728">
        <v>570</v>
      </c>
    </row>
    <row r="37" spans="2:4" ht="23.45" customHeight="1" x14ac:dyDescent="0.4">
      <c r="B37" s="295" t="s">
        <v>11</v>
      </c>
      <c r="C37" s="297">
        <f>AVERAGE(C35:C36)</f>
        <v>490</v>
      </c>
      <c r="D37" s="297">
        <f>AVERAGE(D35:D36)</f>
        <v>575</v>
      </c>
    </row>
    <row r="38" spans="2:4" ht="6.95" customHeight="1" x14ac:dyDescent="0.4">
      <c r="B38" s="167"/>
      <c r="C38" s="162"/>
      <c r="D38" s="168"/>
    </row>
    <row r="39" spans="2:4" x14ac:dyDescent="0.4">
      <c r="B39" s="167" t="s">
        <v>12</v>
      </c>
      <c r="C39" s="162"/>
      <c r="D39" s="168"/>
    </row>
    <row r="40" spans="2:4" x14ac:dyDescent="0.4">
      <c r="B40" s="167" t="s">
        <v>333</v>
      </c>
      <c r="C40" s="163">
        <v>150</v>
      </c>
      <c r="D40" s="163">
        <v>150</v>
      </c>
    </row>
    <row r="41" spans="2:4" x14ac:dyDescent="0.4">
      <c r="B41" s="167" t="s">
        <v>107</v>
      </c>
      <c r="C41" s="163">
        <v>165</v>
      </c>
      <c r="D41" s="163">
        <v>160</v>
      </c>
    </row>
    <row r="42" spans="2:4" ht="28.5" customHeight="1" x14ac:dyDescent="0.4">
      <c r="B42" s="167" t="s">
        <v>13</v>
      </c>
      <c r="C42" s="163">
        <f>AVERAGE(C40:C41)</f>
        <v>157.5</v>
      </c>
      <c r="D42" s="163">
        <f>AVERAGE(D40:D41)</f>
        <v>155</v>
      </c>
    </row>
    <row r="43" spans="2:4" ht="25.5" customHeight="1" x14ac:dyDescent="0.45">
      <c r="B43" s="169"/>
      <c r="C43" s="162"/>
      <c r="D43" s="168"/>
    </row>
    <row r="44" spans="2:4" ht="80.25" customHeight="1" x14ac:dyDescent="0.4">
      <c r="B44" s="298" t="s">
        <v>292</v>
      </c>
      <c r="C44" s="297">
        <f>SUM(C15,C22,C32,C37,C42)</f>
        <v>8834.2857142857138</v>
      </c>
      <c r="D44" s="297">
        <f>SUM(D15,D22,D32,D37,D42)</f>
        <v>8848.5714285714275</v>
      </c>
    </row>
  </sheetData>
  <mergeCells count="4">
    <mergeCell ref="B1:D1"/>
    <mergeCell ref="B2:D2"/>
    <mergeCell ref="B3:D3"/>
    <mergeCell ref="B4:D4"/>
  </mergeCells>
  <phoneticPr fontId="0" type="noConversion"/>
  <printOptions horizontalCentered="1" verticalCentered="1"/>
  <pageMargins left="0.25" right="0.26" top="0.68" bottom="0.61" header="0.5" footer="0.5"/>
  <pageSetup scale="5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1:O34"/>
  <sheetViews>
    <sheetView zoomScale="110" zoomScaleNormal="110" workbookViewId="0">
      <pane ySplit="2" topLeftCell="A13" activePane="bottomLeft" state="frozen"/>
      <selection activeCell="H171" sqref="H171"/>
      <selection pane="bottomLeft" activeCell="D30" sqref="D30"/>
    </sheetView>
  </sheetViews>
  <sheetFormatPr defaultColWidth="14" defaultRowHeight="15" x14ac:dyDescent="0.25"/>
  <cols>
    <col min="1" max="4" width="10.5703125" style="463" customWidth="1"/>
    <col min="5" max="5" width="13.5703125" style="463" customWidth="1"/>
    <col min="6" max="6" width="8" style="463" bestFit="1" customWidth="1"/>
    <col min="7" max="7" width="10.5703125" style="463" customWidth="1"/>
    <col min="8" max="8" width="14.140625" style="463" customWidth="1"/>
    <col min="9" max="9" width="10.7109375" style="463" customWidth="1"/>
    <col min="10" max="10" width="10.5703125" style="463" customWidth="1"/>
    <col min="11" max="11" width="14.5703125" style="463" customWidth="1"/>
    <col min="12" max="13" width="10.5703125" style="463" customWidth="1"/>
    <col min="14" max="14" width="8.5703125" style="463" customWidth="1"/>
    <col min="15" max="15" width="12.5703125" style="463" customWidth="1"/>
    <col min="16" max="16384" width="14" style="463"/>
  </cols>
  <sheetData>
    <row r="1" spans="1:15" ht="27" customHeight="1" thickBot="1" x14ac:dyDescent="0.3">
      <c r="A1" s="462"/>
      <c r="B1" s="831" t="s">
        <v>50</v>
      </c>
      <c r="C1" s="832"/>
      <c r="D1" s="832"/>
      <c r="E1" s="832"/>
      <c r="F1" s="833"/>
      <c r="G1" s="834" t="s">
        <v>51</v>
      </c>
      <c r="H1" s="835"/>
      <c r="I1" s="836"/>
      <c r="J1" s="700" t="s">
        <v>230</v>
      </c>
      <c r="K1" s="490" t="s">
        <v>226</v>
      </c>
      <c r="L1" s="837" t="s">
        <v>52</v>
      </c>
      <c r="M1" s="837"/>
      <c r="N1" s="837"/>
      <c r="O1" s="490" t="s">
        <v>229</v>
      </c>
    </row>
    <row r="2" spans="1:15" ht="43.5" x14ac:dyDescent="0.25">
      <c r="A2" s="701" t="s">
        <v>0</v>
      </c>
      <c r="B2" s="702" t="s">
        <v>335</v>
      </c>
      <c r="C2" s="703" t="s">
        <v>48</v>
      </c>
      <c r="D2" s="703" t="s">
        <v>49</v>
      </c>
      <c r="E2" s="704" t="s">
        <v>45</v>
      </c>
      <c r="F2" s="705" t="s">
        <v>47</v>
      </c>
      <c r="G2" s="706" t="s">
        <v>46</v>
      </c>
      <c r="H2" s="707" t="s">
        <v>45</v>
      </c>
      <c r="I2" s="708" t="s">
        <v>47</v>
      </c>
      <c r="J2" s="709" t="s">
        <v>45</v>
      </c>
      <c r="K2" s="710" t="s">
        <v>45</v>
      </c>
      <c r="L2" s="711" t="s">
        <v>49</v>
      </c>
      <c r="M2" s="712" t="s">
        <v>228</v>
      </c>
      <c r="N2" s="713" t="s">
        <v>47</v>
      </c>
      <c r="O2" s="710" t="s">
        <v>45</v>
      </c>
    </row>
    <row r="3" spans="1:15" x14ac:dyDescent="0.25">
      <c r="A3" s="714">
        <v>1992</v>
      </c>
      <c r="B3" s="473">
        <v>3</v>
      </c>
      <c r="C3" s="474">
        <v>264</v>
      </c>
      <c r="D3" s="474">
        <v>318</v>
      </c>
      <c r="E3" s="471"/>
      <c r="F3" s="460"/>
      <c r="G3" s="476"/>
      <c r="H3" s="480"/>
      <c r="I3" s="464"/>
      <c r="J3" s="459"/>
      <c r="K3" s="486"/>
      <c r="L3" s="484"/>
      <c r="M3" s="477"/>
      <c r="N3" s="465"/>
      <c r="O3" s="486"/>
    </row>
    <row r="4" spans="1:15" x14ac:dyDescent="0.25">
      <c r="A4" s="714">
        <v>1993</v>
      </c>
      <c r="B4" s="473">
        <v>5</v>
      </c>
      <c r="C4" s="474">
        <v>274</v>
      </c>
      <c r="D4" s="474">
        <v>382</v>
      </c>
      <c r="E4" s="471"/>
      <c r="F4" s="460"/>
      <c r="G4" s="476"/>
      <c r="H4" s="480"/>
      <c r="I4" s="464"/>
      <c r="J4" s="459"/>
      <c r="K4" s="486"/>
      <c r="L4" s="484"/>
      <c r="M4" s="477"/>
      <c r="N4" s="465"/>
      <c r="O4" s="486"/>
    </row>
    <row r="5" spans="1:15" x14ac:dyDescent="0.25">
      <c r="A5" s="714">
        <v>1994</v>
      </c>
      <c r="B5" s="473">
        <v>9</v>
      </c>
      <c r="C5" s="474">
        <v>318</v>
      </c>
      <c r="D5" s="474">
        <v>606</v>
      </c>
      <c r="E5" s="471"/>
      <c r="F5" s="460"/>
      <c r="G5" s="476"/>
      <c r="H5" s="480"/>
      <c r="I5" s="464"/>
      <c r="J5" s="459"/>
      <c r="K5" s="486"/>
      <c r="L5" s="484"/>
      <c r="M5" s="477"/>
      <c r="N5" s="465"/>
      <c r="O5" s="486"/>
    </row>
    <row r="6" spans="1:15" x14ac:dyDescent="0.25">
      <c r="A6" s="714">
        <v>1995</v>
      </c>
      <c r="B6" s="473">
        <v>12</v>
      </c>
      <c r="C6" s="475">
        <v>382</v>
      </c>
      <c r="D6" s="475">
        <v>803</v>
      </c>
      <c r="E6" s="472"/>
      <c r="F6" s="460"/>
      <c r="G6" s="476"/>
      <c r="H6" s="480"/>
      <c r="I6" s="464"/>
      <c r="J6" s="459"/>
      <c r="K6" s="486"/>
      <c r="L6" s="484"/>
      <c r="M6" s="477"/>
      <c r="N6" s="465"/>
      <c r="O6" s="486"/>
    </row>
    <row r="7" spans="1:15" x14ac:dyDescent="0.25">
      <c r="A7" s="714">
        <v>1996</v>
      </c>
      <c r="B7" s="473">
        <v>15</v>
      </c>
      <c r="C7" s="475">
        <v>543</v>
      </c>
      <c r="D7" s="475">
        <v>984</v>
      </c>
      <c r="E7" s="472">
        <v>73933.58</v>
      </c>
      <c r="F7" s="461">
        <f t="shared" ref="F7:F19" si="0">E7/C7</f>
        <v>136.157605893186</v>
      </c>
      <c r="G7" s="476"/>
      <c r="H7" s="480"/>
      <c r="I7" s="464"/>
      <c r="J7" s="459"/>
      <c r="K7" s="486"/>
      <c r="L7" s="484"/>
      <c r="M7" s="477"/>
      <c r="N7" s="465"/>
      <c r="O7" s="486"/>
    </row>
    <row r="8" spans="1:15" x14ac:dyDescent="0.25">
      <c r="A8" s="714">
        <v>1997</v>
      </c>
      <c r="B8" s="473">
        <v>22</v>
      </c>
      <c r="C8" s="475">
        <v>714</v>
      </c>
      <c r="D8" s="475">
        <v>1332</v>
      </c>
      <c r="E8" s="472">
        <v>107190</v>
      </c>
      <c r="F8" s="461">
        <f t="shared" si="0"/>
        <v>150.12605042016807</v>
      </c>
      <c r="G8" s="476"/>
      <c r="H8" s="480"/>
      <c r="I8" s="464"/>
      <c r="J8" s="459"/>
      <c r="K8" s="486"/>
      <c r="L8" s="484"/>
      <c r="M8" s="477"/>
      <c r="N8" s="465"/>
      <c r="O8" s="486"/>
    </row>
    <row r="9" spans="1:15" x14ac:dyDescent="0.25">
      <c r="A9" s="714">
        <v>1998</v>
      </c>
      <c r="B9" s="473">
        <v>26</v>
      </c>
      <c r="C9" s="475">
        <v>897</v>
      </c>
      <c r="D9" s="475">
        <v>1837</v>
      </c>
      <c r="E9" s="472">
        <v>163466.01</v>
      </c>
      <c r="F9" s="461">
        <f t="shared" si="0"/>
        <v>182.23635451505018</v>
      </c>
      <c r="G9" s="476"/>
      <c r="H9" s="480"/>
      <c r="I9" s="464"/>
      <c r="J9" s="459"/>
      <c r="K9" s="486"/>
      <c r="L9" s="484"/>
      <c r="M9" s="477"/>
      <c r="N9" s="465"/>
      <c r="O9" s="486"/>
    </row>
    <row r="10" spans="1:15" x14ac:dyDescent="0.25">
      <c r="A10" s="714">
        <v>1999</v>
      </c>
      <c r="B10" s="473">
        <v>35</v>
      </c>
      <c r="C10" s="475">
        <v>1365</v>
      </c>
      <c r="D10" s="475">
        <v>2490</v>
      </c>
      <c r="E10" s="472">
        <v>208550</v>
      </c>
      <c r="F10" s="461">
        <f t="shared" si="0"/>
        <v>152.78388278388277</v>
      </c>
      <c r="G10" s="476"/>
      <c r="H10" s="480"/>
      <c r="I10" s="464"/>
      <c r="J10" s="459"/>
      <c r="K10" s="486"/>
      <c r="L10" s="484"/>
      <c r="M10" s="477"/>
      <c r="N10" s="465"/>
      <c r="O10" s="486"/>
    </row>
    <row r="11" spans="1:15" x14ac:dyDescent="0.25">
      <c r="A11" s="714">
        <v>2000</v>
      </c>
      <c r="B11" s="473">
        <v>41</v>
      </c>
      <c r="C11" s="475">
        <v>1809</v>
      </c>
      <c r="D11" s="475">
        <v>2706</v>
      </c>
      <c r="E11" s="472">
        <v>317107.57</v>
      </c>
      <c r="F11" s="461">
        <f t="shared" si="0"/>
        <v>175.29440022111663</v>
      </c>
      <c r="G11" s="476"/>
      <c r="H11" s="480"/>
      <c r="I11" s="464"/>
      <c r="J11" s="459"/>
      <c r="K11" s="486"/>
      <c r="L11" s="484"/>
      <c r="M11" s="477"/>
      <c r="N11" s="465"/>
      <c r="O11" s="486"/>
    </row>
    <row r="12" spans="1:15" x14ac:dyDescent="0.25">
      <c r="A12" s="714">
        <v>2001</v>
      </c>
      <c r="B12" s="473">
        <v>41</v>
      </c>
      <c r="C12" s="475">
        <v>2475</v>
      </c>
      <c r="D12" s="475">
        <v>2855</v>
      </c>
      <c r="E12" s="472">
        <v>400000</v>
      </c>
      <c r="F12" s="461">
        <f t="shared" si="0"/>
        <v>161.61616161616161</v>
      </c>
      <c r="G12" s="476"/>
      <c r="H12" s="480"/>
      <c r="I12" s="464"/>
      <c r="J12" s="459"/>
      <c r="K12" s="486"/>
      <c r="L12" s="484"/>
      <c r="M12" s="477"/>
      <c r="N12" s="465"/>
      <c r="O12" s="486"/>
    </row>
    <row r="13" spans="1:15" x14ac:dyDescent="0.25">
      <c r="A13" s="714">
        <v>2002</v>
      </c>
      <c r="B13" s="473">
        <v>39</v>
      </c>
      <c r="C13" s="475">
        <v>2705</v>
      </c>
      <c r="D13" s="475">
        <v>3005</v>
      </c>
      <c r="E13" s="472">
        <v>360782.81</v>
      </c>
      <c r="F13" s="461">
        <f t="shared" si="0"/>
        <v>133.37626987060997</v>
      </c>
      <c r="G13" s="476"/>
      <c r="H13" s="481">
        <v>779280</v>
      </c>
      <c r="I13" s="464"/>
      <c r="J13" s="459"/>
      <c r="K13" s="487">
        <f t="shared" ref="K13:K18" si="1">E13+H13</f>
        <v>1140062.81</v>
      </c>
      <c r="L13" s="485"/>
      <c r="M13" s="478"/>
      <c r="N13" s="465"/>
      <c r="O13" s="486"/>
    </row>
    <row r="14" spans="1:15" x14ac:dyDescent="0.25">
      <c r="A14" s="714">
        <v>2003</v>
      </c>
      <c r="B14" s="473">
        <v>40</v>
      </c>
      <c r="C14" s="475">
        <v>2658</v>
      </c>
      <c r="D14" s="475">
        <v>3078</v>
      </c>
      <c r="E14" s="472">
        <v>566518.98</v>
      </c>
      <c r="F14" s="461">
        <f t="shared" si="0"/>
        <v>213.1373137697517</v>
      </c>
      <c r="G14" s="476"/>
      <c r="H14" s="481">
        <v>852040</v>
      </c>
      <c r="I14" s="464"/>
      <c r="J14" s="459"/>
      <c r="K14" s="487">
        <f t="shared" si="1"/>
        <v>1418558.98</v>
      </c>
      <c r="L14" s="485"/>
      <c r="M14" s="478"/>
      <c r="N14" s="465"/>
      <c r="O14" s="486"/>
    </row>
    <row r="15" spans="1:15" x14ac:dyDescent="0.25">
      <c r="A15" s="714">
        <v>2004</v>
      </c>
      <c r="B15" s="473">
        <v>39</v>
      </c>
      <c r="C15" s="475">
        <v>2828</v>
      </c>
      <c r="D15" s="475">
        <v>3264</v>
      </c>
      <c r="E15" s="472">
        <v>542009.31000000006</v>
      </c>
      <c r="F15" s="461">
        <f t="shared" si="0"/>
        <v>191.65817185289959</v>
      </c>
      <c r="G15" s="482">
        <v>5883</v>
      </c>
      <c r="H15" s="481">
        <v>844988</v>
      </c>
      <c r="I15" s="467">
        <f t="shared" ref="I15:I30" si="2">H15/G15</f>
        <v>143.63216046234913</v>
      </c>
      <c r="J15" s="459"/>
      <c r="K15" s="487">
        <f t="shared" si="1"/>
        <v>1386997.31</v>
      </c>
      <c r="L15" s="485"/>
      <c r="M15" s="478"/>
      <c r="N15" s="465"/>
      <c r="O15" s="486"/>
    </row>
    <row r="16" spans="1:15" x14ac:dyDescent="0.25">
      <c r="A16" s="714">
        <v>2005</v>
      </c>
      <c r="B16" s="473">
        <v>40</v>
      </c>
      <c r="C16" s="475">
        <v>2910</v>
      </c>
      <c r="D16" s="475">
        <v>3717</v>
      </c>
      <c r="E16" s="472">
        <v>549931.78</v>
      </c>
      <c r="F16" s="461">
        <f t="shared" si="0"/>
        <v>188.97999312714776</v>
      </c>
      <c r="G16" s="482">
        <v>5915</v>
      </c>
      <c r="H16" s="481">
        <v>741923</v>
      </c>
      <c r="I16" s="467">
        <f t="shared" si="2"/>
        <v>125.43076923076923</v>
      </c>
      <c r="J16" s="459"/>
      <c r="K16" s="487">
        <f t="shared" si="1"/>
        <v>1291854.78</v>
      </c>
      <c r="L16" s="485"/>
      <c r="M16" s="478"/>
      <c r="N16" s="465"/>
      <c r="O16" s="486"/>
    </row>
    <row r="17" spans="1:15" x14ac:dyDescent="0.25">
      <c r="A17" s="714">
        <v>2006</v>
      </c>
      <c r="B17" s="473">
        <v>45</v>
      </c>
      <c r="C17" s="475">
        <v>3290</v>
      </c>
      <c r="D17" s="475">
        <v>4091</v>
      </c>
      <c r="E17" s="472">
        <v>861723</v>
      </c>
      <c r="F17" s="461">
        <f t="shared" si="0"/>
        <v>261.92188449848027</v>
      </c>
      <c r="G17" s="482">
        <v>5857</v>
      </c>
      <c r="H17" s="481">
        <v>767476</v>
      </c>
      <c r="I17" s="467">
        <f t="shared" si="2"/>
        <v>131.03568379716577</v>
      </c>
      <c r="J17" s="459"/>
      <c r="K17" s="487">
        <f t="shared" si="1"/>
        <v>1629199</v>
      </c>
      <c r="L17" s="485"/>
      <c r="M17" s="478"/>
      <c r="N17" s="465"/>
      <c r="O17" s="486"/>
    </row>
    <row r="18" spans="1:15" x14ac:dyDescent="0.25">
      <c r="A18" s="714">
        <v>2007</v>
      </c>
      <c r="B18" s="473">
        <v>49</v>
      </c>
      <c r="C18" s="475">
        <v>3735</v>
      </c>
      <c r="D18" s="475">
        <v>4637</v>
      </c>
      <c r="E18" s="472">
        <v>640904</v>
      </c>
      <c r="F18" s="461">
        <f t="shared" si="0"/>
        <v>171.59410977242302</v>
      </c>
      <c r="G18" s="482">
        <v>6102</v>
      </c>
      <c r="H18" s="481">
        <v>792132</v>
      </c>
      <c r="I18" s="467">
        <f t="shared" si="2"/>
        <v>129.81514257620452</v>
      </c>
      <c r="J18" s="459"/>
      <c r="K18" s="487">
        <f t="shared" si="1"/>
        <v>1433036</v>
      </c>
      <c r="L18" s="485"/>
      <c r="M18" s="478"/>
      <c r="N18" s="465"/>
      <c r="O18" s="486"/>
    </row>
    <row r="19" spans="1:15" x14ac:dyDescent="0.25">
      <c r="A19" s="714">
        <v>2008</v>
      </c>
      <c r="B19" s="473">
        <v>55</v>
      </c>
      <c r="C19" s="475">
        <v>4131</v>
      </c>
      <c r="D19" s="475">
        <v>5282</v>
      </c>
      <c r="E19" s="472">
        <v>796065</v>
      </c>
      <c r="F19" s="461">
        <f t="shared" si="0"/>
        <v>192.70515613652867</v>
      </c>
      <c r="G19" s="482">
        <v>6140</v>
      </c>
      <c r="H19" s="481">
        <v>693300</v>
      </c>
      <c r="I19" s="467">
        <f t="shared" si="2"/>
        <v>112.91530944625407</v>
      </c>
      <c r="J19" s="483">
        <v>125000</v>
      </c>
      <c r="K19" s="487">
        <f>E19+H19+J19</f>
        <v>1614365</v>
      </c>
      <c r="L19" s="485"/>
      <c r="M19" s="478"/>
      <c r="N19" s="465"/>
      <c r="O19" s="486"/>
    </row>
    <row r="20" spans="1:15" x14ac:dyDescent="0.25">
      <c r="A20" s="714">
        <v>2009</v>
      </c>
      <c r="B20" s="473">
        <v>66</v>
      </c>
      <c r="C20" s="475">
        <v>4355</v>
      </c>
      <c r="D20" s="475">
        <v>6242</v>
      </c>
      <c r="E20" s="472">
        <v>963619</v>
      </c>
      <c r="F20" s="461">
        <f t="shared" ref="F20:F28" si="3">E20/C20</f>
        <v>221.26727898966706</v>
      </c>
      <c r="G20" s="482">
        <v>6130</v>
      </c>
      <c r="H20" s="481">
        <v>826000</v>
      </c>
      <c r="I20" s="467">
        <f t="shared" si="2"/>
        <v>134.74714518760194</v>
      </c>
      <c r="J20" s="483" t="s">
        <v>20</v>
      </c>
      <c r="K20" s="487">
        <f>SUM(E20,H20,J20)</f>
        <v>1789619</v>
      </c>
      <c r="L20" s="485">
        <v>1250</v>
      </c>
      <c r="M20" s="479">
        <v>300000</v>
      </c>
      <c r="N20" s="466">
        <f t="shared" ref="N20:N30" si="4">M20/L20</f>
        <v>240</v>
      </c>
      <c r="O20" s="487">
        <f t="shared" ref="O20:O24" si="5">K20+M20</f>
        <v>2089619</v>
      </c>
    </row>
    <row r="21" spans="1:15" x14ac:dyDescent="0.25">
      <c r="A21" s="714">
        <v>2010</v>
      </c>
      <c r="B21" s="473">
        <v>74</v>
      </c>
      <c r="C21" s="475">
        <v>4879</v>
      </c>
      <c r="D21" s="475">
        <v>7259</v>
      </c>
      <c r="E21" s="472">
        <v>918959</v>
      </c>
      <c r="F21" s="461">
        <f t="shared" si="3"/>
        <v>188.34986677597868</v>
      </c>
      <c r="G21" s="482">
        <v>6508</v>
      </c>
      <c r="H21" s="481">
        <v>643897</v>
      </c>
      <c r="I21" s="468">
        <f t="shared" si="2"/>
        <v>98.939305470190533</v>
      </c>
      <c r="J21" s="459"/>
      <c r="K21" s="487">
        <f>SUM(E21,H21,J21)</f>
        <v>1562856</v>
      </c>
      <c r="L21" s="485">
        <v>1280</v>
      </c>
      <c r="M21" s="479">
        <v>219286</v>
      </c>
      <c r="N21" s="466">
        <f t="shared" si="4"/>
        <v>171.31718749999999</v>
      </c>
      <c r="O21" s="487">
        <f t="shared" si="5"/>
        <v>1782142</v>
      </c>
    </row>
    <row r="22" spans="1:15" x14ac:dyDescent="0.25">
      <c r="A22" s="714">
        <v>2011</v>
      </c>
      <c r="B22" s="473">
        <v>76</v>
      </c>
      <c r="C22" s="475">
        <v>5880</v>
      </c>
      <c r="D22" s="475">
        <v>8040</v>
      </c>
      <c r="E22" s="472">
        <v>1193306</v>
      </c>
      <c r="F22" s="461">
        <f t="shared" si="3"/>
        <v>202.94319727891155</v>
      </c>
      <c r="G22" s="482">
        <v>6505</v>
      </c>
      <c r="H22" s="481">
        <v>607520</v>
      </c>
      <c r="I22" s="467">
        <f t="shared" si="2"/>
        <v>93.392774788624138</v>
      </c>
      <c r="J22" s="483">
        <f>75000+25000+10000</f>
        <v>110000</v>
      </c>
      <c r="K22" s="487">
        <f>SUM(E22,H22,J22)</f>
        <v>1910826</v>
      </c>
      <c r="L22" s="485">
        <v>1433</v>
      </c>
      <c r="M22" s="479">
        <v>354022</v>
      </c>
      <c r="N22" s="466">
        <f t="shared" si="4"/>
        <v>247.04954640614096</v>
      </c>
      <c r="O22" s="487">
        <f t="shared" si="5"/>
        <v>2264848</v>
      </c>
    </row>
    <row r="23" spans="1:15" x14ac:dyDescent="0.25">
      <c r="A23" s="714">
        <v>2012</v>
      </c>
      <c r="B23" s="473">
        <v>80</v>
      </c>
      <c r="C23" s="475">
        <v>7071</v>
      </c>
      <c r="D23" s="475">
        <v>8463</v>
      </c>
      <c r="E23" s="472">
        <v>1854980</v>
      </c>
      <c r="F23" s="461">
        <f t="shared" si="3"/>
        <v>262.33630321029557</v>
      </c>
      <c r="G23" s="482">
        <v>6539</v>
      </c>
      <c r="H23" s="481">
        <v>944051</v>
      </c>
      <c r="I23" s="467">
        <f t="shared" si="2"/>
        <v>144.37238109802723</v>
      </c>
      <c r="J23" s="483">
        <f>109000+33000+10250+2500</f>
        <v>154750</v>
      </c>
      <c r="K23" s="487">
        <f>SUM(E23,H23,J23)</f>
        <v>2953781</v>
      </c>
      <c r="L23" s="485">
        <v>1472</v>
      </c>
      <c r="M23" s="479">
        <v>354800</v>
      </c>
      <c r="N23" s="466">
        <f t="shared" si="4"/>
        <v>241.03260869565219</v>
      </c>
      <c r="O23" s="487">
        <f t="shared" si="5"/>
        <v>3308581</v>
      </c>
    </row>
    <row r="24" spans="1:15" x14ac:dyDescent="0.25">
      <c r="A24" s="714">
        <v>2013</v>
      </c>
      <c r="B24" s="473">
        <v>81</v>
      </c>
      <c r="C24" s="475">
        <v>7657</v>
      </c>
      <c r="D24" s="475">
        <v>9121.1</v>
      </c>
      <c r="E24" s="472">
        <v>1621764</v>
      </c>
      <c r="F24" s="461">
        <f t="shared" si="3"/>
        <v>211.8014888337469</v>
      </c>
      <c r="G24" s="482">
        <v>6567</v>
      </c>
      <c r="H24" s="481">
        <v>941277</v>
      </c>
      <c r="I24" s="467">
        <f t="shared" si="2"/>
        <v>143.33439926907263</v>
      </c>
      <c r="J24" s="483">
        <v>203246</v>
      </c>
      <c r="K24" s="487">
        <f>SUM(E24,H24,J24)</f>
        <v>2766287</v>
      </c>
      <c r="L24" s="485">
        <v>1500</v>
      </c>
      <c r="M24" s="479">
        <v>465000</v>
      </c>
      <c r="N24" s="466">
        <f t="shared" si="4"/>
        <v>310</v>
      </c>
      <c r="O24" s="487">
        <f t="shared" si="5"/>
        <v>3231287</v>
      </c>
    </row>
    <row r="25" spans="1:15" x14ac:dyDescent="0.25">
      <c r="A25" s="714">
        <v>2014</v>
      </c>
      <c r="B25" s="473">
        <v>84</v>
      </c>
      <c r="C25" s="475">
        <v>8516</v>
      </c>
      <c r="D25" s="475">
        <v>9788</v>
      </c>
      <c r="E25" s="472">
        <f>241047230/100</f>
        <v>2410472.2999999998</v>
      </c>
      <c r="F25" s="461">
        <f t="shared" si="3"/>
        <v>283.05217238139971</v>
      </c>
      <c r="G25" s="482">
        <v>6541</v>
      </c>
      <c r="H25" s="481">
        <v>837538</v>
      </c>
      <c r="I25" s="467">
        <f t="shared" si="2"/>
        <v>128.04433572848188</v>
      </c>
      <c r="J25" s="483">
        <v>125000</v>
      </c>
      <c r="K25" s="487">
        <f t="shared" ref="K25:K30" si="6">J25+H25+E25</f>
        <v>3373010.3</v>
      </c>
      <c r="L25" s="485">
        <v>1700</v>
      </c>
      <c r="M25" s="479">
        <v>408000</v>
      </c>
      <c r="N25" s="466">
        <f t="shared" si="4"/>
        <v>240</v>
      </c>
      <c r="O25" s="487">
        <f t="shared" ref="O25:O30" si="7">K25+M25</f>
        <v>3781010.3</v>
      </c>
    </row>
    <row r="26" spans="1:15" x14ac:dyDescent="0.25">
      <c r="A26" s="714">
        <v>2015</v>
      </c>
      <c r="B26" s="473">
        <v>82</v>
      </c>
      <c r="C26" s="475">
        <f>C25+731</f>
        <v>9247</v>
      </c>
      <c r="D26" s="475">
        <v>9889</v>
      </c>
      <c r="E26" s="472">
        <f>208538744/100</f>
        <v>2085387.44</v>
      </c>
      <c r="F26" s="461">
        <f t="shared" si="3"/>
        <v>225.52043257272629</v>
      </c>
      <c r="G26" s="482">
        <v>6700</v>
      </c>
      <c r="H26" s="481">
        <v>989000</v>
      </c>
      <c r="I26" s="467">
        <f t="shared" si="2"/>
        <v>147.61194029850745</v>
      </c>
      <c r="J26" s="483">
        <f>2283000-E26</f>
        <v>197612.56000000006</v>
      </c>
      <c r="K26" s="487">
        <f t="shared" si="6"/>
        <v>3272000</v>
      </c>
      <c r="L26" s="485">
        <v>1700</v>
      </c>
      <c r="M26" s="479">
        <v>432000</v>
      </c>
      <c r="N26" s="466">
        <f t="shared" si="4"/>
        <v>254.11764705882354</v>
      </c>
      <c r="O26" s="487">
        <f t="shared" si="7"/>
        <v>3704000</v>
      </c>
    </row>
    <row r="27" spans="1:15" x14ac:dyDescent="0.25">
      <c r="A27" s="714">
        <v>2016</v>
      </c>
      <c r="B27" s="473">
        <v>82</v>
      </c>
      <c r="C27" s="475">
        <v>9502</v>
      </c>
      <c r="D27" s="475">
        <v>10349</v>
      </c>
      <c r="E27" s="472">
        <v>2758936</v>
      </c>
      <c r="F27" s="461">
        <f t="shared" si="3"/>
        <v>290.35318880235741</v>
      </c>
      <c r="G27" s="482">
        <v>6700</v>
      </c>
      <c r="H27" s="481">
        <v>1007684</v>
      </c>
      <c r="I27" s="467">
        <f t="shared" si="2"/>
        <v>150.40059701492538</v>
      </c>
      <c r="J27" s="483">
        <v>200000</v>
      </c>
      <c r="K27" s="487">
        <f t="shared" si="6"/>
        <v>3966620</v>
      </c>
      <c r="L27" s="485">
        <v>1700</v>
      </c>
      <c r="M27" s="479">
        <v>488000</v>
      </c>
      <c r="N27" s="489">
        <f t="shared" si="4"/>
        <v>287.05882352941177</v>
      </c>
      <c r="O27" s="487">
        <f t="shared" si="7"/>
        <v>4454620</v>
      </c>
    </row>
    <row r="28" spans="1:15" x14ac:dyDescent="0.25">
      <c r="A28" s="714">
        <v>2017</v>
      </c>
      <c r="B28" s="473">
        <v>80</v>
      </c>
      <c r="C28" s="475">
        <v>9828</v>
      </c>
      <c r="D28" s="475">
        <v>10558</v>
      </c>
      <c r="E28" s="472">
        <v>1602672</v>
      </c>
      <c r="F28" s="461">
        <f t="shared" si="3"/>
        <v>163.07203907203908</v>
      </c>
      <c r="G28" s="482">
        <v>6700</v>
      </c>
      <c r="H28" s="481">
        <v>856941</v>
      </c>
      <c r="I28" s="467">
        <f t="shared" si="2"/>
        <v>127.90164179104478</v>
      </c>
      <c r="J28" s="483">
        <v>180000</v>
      </c>
      <c r="K28" s="487">
        <f t="shared" si="6"/>
        <v>2639613</v>
      </c>
      <c r="L28" s="485">
        <v>1700</v>
      </c>
      <c r="M28" s="479">
        <v>480000</v>
      </c>
      <c r="N28" s="489">
        <f t="shared" si="4"/>
        <v>282.35294117647061</v>
      </c>
      <c r="O28" s="487">
        <f t="shared" si="7"/>
        <v>3119613</v>
      </c>
    </row>
    <row r="29" spans="1:15" x14ac:dyDescent="0.25">
      <c r="A29" s="714">
        <v>2018</v>
      </c>
      <c r="B29" s="473">
        <v>78</v>
      </c>
      <c r="C29" s="475">
        <v>9965</v>
      </c>
      <c r="D29" s="475">
        <v>10903</v>
      </c>
      <c r="E29" s="472">
        <v>2513928</v>
      </c>
      <c r="F29" s="461">
        <f>E29/C29</f>
        <v>252.27576517812344</v>
      </c>
      <c r="G29" s="482">
        <v>6700</v>
      </c>
      <c r="H29" s="481">
        <v>1347753</v>
      </c>
      <c r="I29" s="467">
        <f t="shared" ref="I29" si="8">H29/G29</f>
        <v>201.15716417910448</v>
      </c>
      <c r="J29" s="483">
        <v>160000</v>
      </c>
      <c r="K29" s="487">
        <f t="shared" si="6"/>
        <v>4021681</v>
      </c>
      <c r="L29" s="485">
        <v>1700</v>
      </c>
      <c r="M29" s="479">
        <v>440000</v>
      </c>
      <c r="N29" s="489">
        <f t="shared" ref="N29" si="9">M29/L29</f>
        <v>258.8235294117647</v>
      </c>
      <c r="O29" s="487">
        <f t="shared" si="7"/>
        <v>4461681</v>
      </c>
    </row>
    <row r="30" spans="1:15" ht="15.75" thickBot="1" x14ac:dyDescent="0.3">
      <c r="A30" s="715" t="s">
        <v>361</v>
      </c>
      <c r="B30" s="716"/>
      <c r="C30" s="717">
        <v>10386</v>
      </c>
      <c r="D30" s="717">
        <v>10386</v>
      </c>
      <c r="E30" s="718">
        <v>2300000</v>
      </c>
      <c r="F30" s="719">
        <f>E30/C30</f>
        <v>221.45195455420759</v>
      </c>
      <c r="G30" s="720">
        <v>6700</v>
      </c>
      <c r="H30" s="721">
        <v>900000</v>
      </c>
      <c r="I30" s="722">
        <f t="shared" si="2"/>
        <v>134.32835820895522</v>
      </c>
      <c r="J30" s="723">
        <v>160000</v>
      </c>
      <c r="K30" s="488">
        <f t="shared" si="6"/>
        <v>3360000</v>
      </c>
      <c r="L30" s="724">
        <v>1900</v>
      </c>
      <c r="M30" s="725">
        <v>484000</v>
      </c>
      <c r="N30" s="726">
        <f t="shared" si="4"/>
        <v>254.73684210526315</v>
      </c>
      <c r="O30" s="488">
        <f t="shared" si="7"/>
        <v>3844000</v>
      </c>
    </row>
    <row r="31" spans="1:15" ht="15.75" thickBot="1" x14ac:dyDescent="0.3">
      <c r="A31" s="806" t="s">
        <v>188</v>
      </c>
      <c r="B31" s="807"/>
      <c r="C31" s="807"/>
      <c r="D31" s="807"/>
      <c r="E31" s="808">
        <f>(E30-E29)/ABS(E29)</f>
        <v>-8.509710699749555E-2</v>
      </c>
      <c r="F31" s="807"/>
      <c r="G31" s="807"/>
      <c r="H31" s="808">
        <f>(H30-H29)/ABS(H29)</f>
        <v>-0.33222185370761559</v>
      </c>
      <c r="I31" s="807"/>
      <c r="J31" s="808">
        <f>(J30-J29)/ABS(J29)</f>
        <v>0</v>
      </c>
      <c r="K31" s="808">
        <f>(K30-K29)/ABS(K29)</f>
        <v>-0.16452846458980711</v>
      </c>
      <c r="L31" s="807"/>
      <c r="M31" s="808">
        <f>(M30-M29)/ABS(M29)</f>
        <v>0.1</v>
      </c>
      <c r="N31" s="807"/>
      <c r="O31" s="809">
        <f>(O30-O29)/ABS(O29)</f>
        <v>-0.13844131841787882</v>
      </c>
    </row>
    <row r="32" spans="1:15" x14ac:dyDescent="0.25">
      <c r="A32" s="469"/>
      <c r="B32" s="469"/>
      <c r="C32" s="469"/>
      <c r="D32" s="469"/>
      <c r="E32" s="469"/>
      <c r="F32" s="469"/>
      <c r="G32" s="469"/>
      <c r="H32" s="469"/>
      <c r="I32" s="469"/>
      <c r="K32" s="470"/>
      <c r="L32" s="470"/>
      <c r="M32" s="470"/>
      <c r="N32" s="470"/>
      <c r="O32" s="470"/>
    </row>
    <row r="33" spans="4:10" x14ac:dyDescent="0.25">
      <c r="J33" s="491" t="s">
        <v>231</v>
      </c>
    </row>
    <row r="34" spans="4:10" x14ac:dyDescent="0.25">
      <c r="D34" s="775"/>
    </row>
  </sheetData>
  <mergeCells count="3">
    <mergeCell ref="B1:F1"/>
    <mergeCell ref="G1:I1"/>
    <mergeCell ref="L1:N1"/>
  </mergeCells>
  <phoneticPr fontId="5" type="noConversion"/>
  <pageMargins left="0.24" right="0.23" top="1" bottom="1" header="0.55000000000000004" footer="0.5"/>
  <pageSetup scale="84" fitToHeight="0" orientation="landscape" r:id="rId1"/>
  <headerFooter alignWithMargins="0">
    <oddHeader xml:space="preserve">&amp;LNon US Cranberry Production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
    <pageSetUpPr fitToPage="1"/>
  </sheetPr>
  <dimension ref="A1:M72"/>
  <sheetViews>
    <sheetView zoomScale="120" zoomScaleNormal="120" workbookViewId="0">
      <pane ySplit="2" topLeftCell="A20" activePane="bottomLeft" state="frozen"/>
      <selection activeCell="H171" sqref="H171"/>
      <selection pane="bottomLeft" activeCell="M12" sqref="M12"/>
    </sheetView>
  </sheetViews>
  <sheetFormatPr defaultColWidth="55.140625" defaultRowHeight="30" x14ac:dyDescent="0.4"/>
  <cols>
    <col min="1" max="1" width="10.140625" style="506" customWidth="1"/>
    <col min="2" max="2" width="12.42578125" style="153" customWidth="1"/>
    <col min="3" max="3" width="8.85546875" style="153" bestFit="1" customWidth="1"/>
    <col min="4" max="4" width="12.140625" style="153" bestFit="1" customWidth="1"/>
    <col min="5" max="5" width="14.42578125" style="153" bestFit="1" customWidth="1"/>
    <col min="6" max="6" width="13.85546875" style="153" bestFit="1" customWidth="1"/>
    <col min="7" max="8" width="14.140625" style="153" customWidth="1"/>
    <col min="9" max="9" width="12.5703125" style="153" bestFit="1" customWidth="1"/>
    <col min="10" max="10" width="11.7109375" style="153" customWidth="1"/>
    <col min="11" max="11" width="12.140625" style="153" bestFit="1" customWidth="1"/>
    <col min="12" max="12" width="14.7109375" style="153" customWidth="1"/>
    <col min="13" max="13" width="55.140625" style="153"/>
    <col min="14" max="14" width="10.28515625" style="153" bestFit="1" customWidth="1"/>
    <col min="15" max="16384" width="55.140625" style="153"/>
  </cols>
  <sheetData>
    <row r="1" spans="1:13" s="521" customFormat="1" ht="23.1" customHeight="1" x14ac:dyDescent="0.2">
      <c r="A1" s="838" t="s">
        <v>336</v>
      </c>
      <c r="B1" s="838"/>
      <c r="C1" s="838"/>
      <c r="D1" s="838"/>
      <c r="E1" s="838"/>
      <c r="F1" s="838"/>
      <c r="G1" s="838"/>
      <c r="H1" s="838"/>
      <c r="I1" s="838"/>
      <c r="J1" s="838"/>
    </row>
    <row r="2" spans="1:13" ht="49.5" customHeight="1" x14ac:dyDescent="0.4">
      <c r="A2" s="492" t="s">
        <v>0</v>
      </c>
      <c r="B2" s="492" t="s">
        <v>28</v>
      </c>
      <c r="C2" s="492" t="s">
        <v>29</v>
      </c>
      <c r="D2" s="492" t="s">
        <v>30</v>
      </c>
      <c r="E2" s="492" t="s">
        <v>31</v>
      </c>
      <c r="F2" s="492" t="s">
        <v>365</v>
      </c>
      <c r="G2" s="751" t="s">
        <v>368</v>
      </c>
      <c r="H2" s="751" t="s">
        <v>372</v>
      </c>
      <c r="I2" s="492" t="s">
        <v>26</v>
      </c>
      <c r="J2" s="492" t="s">
        <v>32</v>
      </c>
      <c r="K2" s="492" t="s">
        <v>33</v>
      </c>
      <c r="L2" s="732" t="s">
        <v>369</v>
      </c>
    </row>
    <row r="3" spans="1:13" ht="15.95" customHeight="1" x14ac:dyDescent="0.4">
      <c r="A3" s="508">
        <v>1988</v>
      </c>
      <c r="B3" s="509">
        <v>253597</v>
      </c>
      <c r="C3" s="509">
        <v>130596</v>
      </c>
      <c r="D3" s="509">
        <v>3693561</v>
      </c>
      <c r="E3" s="509">
        <v>53300</v>
      </c>
      <c r="F3" s="509"/>
      <c r="G3" s="509"/>
      <c r="H3" s="509"/>
      <c r="I3" s="509">
        <f>+SUM(B3:G3)</f>
        <v>4131054</v>
      </c>
      <c r="J3" s="510">
        <f t="shared" ref="J3:J33" si="0">B3+C3</f>
        <v>384193</v>
      </c>
      <c r="K3" s="739">
        <f t="shared" ref="K3:K30" si="1">D3+E3</f>
        <v>3746861</v>
      </c>
      <c r="L3" s="745">
        <f>F3+G3</f>
        <v>0</v>
      </c>
    </row>
    <row r="4" spans="1:13" ht="15.95" customHeight="1" x14ac:dyDescent="0.4">
      <c r="A4" s="511">
        <v>1989</v>
      </c>
      <c r="B4" s="499">
        <v>234210</v>
      </c>
      <c r="C4" s="499">
        <v>123630</v>
      </c>
      <c r="D4" s="499">
        <v>3433799</v>
      </c>
      <c r="E4" s="499">
        <v>68436</v>
      </c>
      <c r="F4" s="499"/>
      <c r="I4" s="499">
        <f t="shared" ref="I4:I15" si="2">SUM(B4:G4)</f>
        <v>3860075</v>
      </c>
      <c r="J4" s="500">
        <f t="shared" si="0"/>
        <v>357840</v>
      </c>
      <c r="K4" s="740">
        <f t="shared" si="1"/>
        <v>3502235</v>
      </c>
      <c r="L4" s="746">
        <f t="shared" ref="L4:L32" si="3">F4+G4</f>
        <v>0</v>
      </c>
    </row>
    <row r="5" spans="1:13" ht="15.95" customHeight="1" x14ac:dyDescent="0.4">
      <c r="A5" s="512">
        <v>1990</v>
      </c>
      <c r="B5" s="497">
        <v>164998</v>
      </c>
      <c r="C5" s="497">
        <v>104659</v>
      </c>
      <c r="D5" s="497">
        <v>3665882</v>
      </c>
      <c r="E5" s="497">
        <v>95791</v>
      </c>
      <c r="F5" s="497"/>
      <c r="G5" s="497"/>
      <c r="H5" s="497"/>
      <c r="I5" s="497">
        <f t="shared" si="2"/>
        <v>4031330</v>
      </c>
      <c r="J5" s="498">
        <f t="shared" si="0"/>
        <v>269657</v>
      </c>
      <c r="K5" s="741">
        <f t="shared" si="1"/>
        <v>3761673</v>
      </c>
      <c r="L5" s="747">
        <f t="shared" si="3"/>
        <v>0</v>
      </c>
    </row>
    <row r="6" spans="1:13" ht="15.95" customHeight="1" x14ac:dyDescent="0.4">
      <c r="A6" s="511">
        <v>1991</v>
      </c>
      <c r="B6" s="499">
        <v>173861</v>
      </c>
      <c r="C6" s="499">
        <v>66434</v>
      </c>
      <c r="D6" s="499">
        <v>4173095</v>
      </c>
      <c r="E6" s="499">
        <v>136235</v>
      </c>
      <c r="F6" s="499"/>
      <c r="I6" s="499">
        <f t="shared" si="2"/>
        <v>4549625</v>
      </c>
      <c r="J6" s="500">
        <f t="shared" si="0"/>
        <v>240295</v>
      </c>
      <c r="K6" s="740">
        <f t="shared" si="1"/>
        <v>4309330</v>
      </c>
      <c r="L6" s="746">
        <f t="shared" si="3"/>
        <v>0</v>
      </c>
      <c r="M6" s="493"/>
    </row>
    <row r="7" spans="1:13" ht="15.95" customHeight="1" x14ac:dyDescent="0.4">
      <c r="A7" s="512">
        <v>1992</v>
      </c>
      <c r="B7" s="497">
        <v>204648</v>
      </c>
      <c r="C7" s="497">
        <v>34199</v>
      </c>
      <c r="D7" s="497">
        <v>3755315</v>
      </c>
      <c r="E7" s="497">
        <v>176136</v>
      </c>
      <c r="F7" s="497"/>
      <c r="G7" s="497"/>
      <c r="H7" s="497"/>
      <c r="I7" s="497">
        <f t="shared" si="2"/>
        <v>4170298</v>
      </c>
      <c r="J7" s="498">
        <f t="shared" si="0"/>
        <v>238847</v>
      </c>
      <c r="K7" s="741">
        <f t="shared" si="1"/>
        <v>3931451</v>
      </c>
      <c r="L7" s="747">
        <f t="shared" si="3"/>
        <v>0</v>
      </c>
    </row>
    <row r="8" spans="1:13" ht="15.95" customHeight="1" x14ac:dyDescent="0.4">
      <c r="A8" s="511">
        <v>1993</v>
      </c>
      <c r="B8" s="499">
        <v>210090</v>
      </c>
      <c r="C8" s="499">
        <v>19126</v>
      </c>
      <c r="D8" s="499">
        <v>3878172</v>
      </c>
      <c r="E8" s="499">
        <v>263589</v>
      </c>
      <c r="F8" s="499"/>
      <c r="I8" s="499">
        <f t="shared" si="2"/>
        <v>4370977</v>
      </c>
      <c r="J8" s="500">
        <f t="shared" si="0"/>
        <v>229216</v>
      </c>
      <c r="K8" s="740">
        <f t="shared" si="1"/>
        <v>4141761</v>
      </c>
      <c r="L8" s="746">
        <f t="shared" si="3"/>
        <v>0</v>
      </c>
    </row>
    <row r="9" spans="1:13" ht="15.95" customHeight="1" x14ac:dyDescent="0.4">
      <c r="A9" s="512">
        <v>1994</v>
      </c>
      <c r="B9" s="497">
        <v>230850</v>
      </c>
      <c r="C9" s="497">
        <v>18474</v>
      </c>
      <c r="D9" s="497">
        <v>4461657</v>
      </c>
      <c r="E9" s="497">
        <v>342604</v>
      </c>
      <c r="F9" s="497"/>
      <c r="G9" s="497"/>
      <c r="H9" s="497"/>
      <c r="I9" s="498">
        <f t="shared" si="2"/>
        <v>5053585</v>
      </c>
      <c r="J9" s="498">
        <f t="shared" si="0"/>
        <v>249324</v>
      </c>
      <c r="K9" s="741">
        <f t="shared" si="1"/>
        <v>4804261</v>
      </c>
      <c r="L9" s="747">
        <f t="shared" si="3"/>
        <v>0</v>
      </c>
    </row>
    <row r="10" spans="1:13" ht="15.95" customHeight="1" x14ac:dyDescent="0.4">
      <c r="A10" s="511">
        <v>1995</v>
      </c>
      <c r="B10" s="499">
        <v>216558</v>
      </c>
      <c r="C10" s="499">
        <v>22557</v>
      </c>
      <c r="D10" s="499">
        <v>4161843</v>
      </c>
      <c r="E10" s="499">
        <v>374468</v>
      </c>
      <c r="F10" s="499"/>
      <c r="I10" s="500">
        <f t="shared" si="2"/>
        <v>4775426</v>
      </c>
      <c r="J10" s="500">
        <f t="shared" si="0"/>
        <v>239115</v>
      </c>
      <c r="K10" s="740">
        <f t="shared" si="1"/>
        <v>4536311</v>
      </c>
      <c r="L10" s="746">
        <f t="shared" si="3"/>
        <v>0</v>
      </c>
    </row>
    <row r="11" spans="1:13" ht="15.95" customHeight="1" x14ac:dyDescent="0.4">
      <c r="A11" s="512">
        <v>1996</v>
      </c>
      <c r="B11" s="497">
        <v>213542</v>
      </c>
      <c r="C11" s="497">
        <v>19726</v>
      </c>
      <c r="D11" s="497">
        <v>4071969</v>
      </c>
      <c r="E11" s="497">
        <v>466000</v>
      </c>
      <c r="F11" s="497"/>
      <c r="G11" s="497"/>
      <c r="H11" s="497"/>
      <c r="I11" s="498">
        <f t="shared" si="2"/>
        <v>4771237</v>
      </c>
      <c r="J11" s="498">
        <f t="shared" si="0"/>
        <v>233268</v>
      </c>
      <c r="K11" s="741">
        <f t="shared" si="1"/>
        <v>4537969</v>
      </c>
      <c r="L11" s="747">
        <f t="shared" si="3"/>
        <v>0</v>
      </c>
    </row>
    <row r="12" spans="1:13" ht="15.95" customHeight="1" x14ac:dyDescent="0.4">
      <c r="A12" s="511">
        <v>1997</v>
      </c>
      <c r="B12" s="499">
        <v>201650</v>
      </c>
      <c r="C12" s="499">
        <v>26002</v>
      </c>
      <c r="D12" s="499">
        <v>4370025</v>
      </c>
      <c r="E12" s="499">
        <v>501991</v>
      </c>
      <c r="F12" s="499"/>
      <c r="I12" s="500">
        <f t="shared" si="2"/>
        <v>5099668</v>
      </c>
      <c r="J12" s="500">
        <f t="shared" si="0"/>
        <v>227652</v>
      </c>
      <c r="K12" s="740">
        <f t="shared" si="1"/>
        <v>4872016</v>
      </c>
      <c r="L12" s="746">
        <f t="shared" si="3"/>
        <v>0</v>
      </c>
    </row>
    <row r="13" spans="1:13" ht="15.95" customHeight="1" x14ac:dyDescent="0.4">
      <c r="A13" s="512">
        <v>1998</v>
      </c>
      <c r="B13" s="497">
        <v>202114</v>
      </c>
      <c r="C13" s="497">
        <v>28768</v>
      </c>
      <c r="D13" s="497">
        <v>4338015</v>
      </c>
      <c r="E13" s="497">
        <v>676481</v>
      </c>
      <c r="F13" s="497"/>
      <c r="G13" s="497"/>
      <c r="H13" s="497"/>
      <c r="I13" s="498">
        <f t="shared" si="2"/>
        <v>5245378</v>
      </c>
      <c r="J13" s="498">
        <f t="shared" si="0"/>
        <v>230882</v>
      </c>
      <c r="K13" s="741">
        <f t="shared" si="1"/>
        <v>5014496</v>
      </c>
      <c r="L13" s="747">
        <f t="shared" si="3"/>
        <v>0</v>
      </c>
    </row>
    <row r="14" spans="1:13" ht="15.95" customHeight="1" x14ac:dyDescent="0.4">
      <c r="A14" s="511">
        <v>1999</v>
      </c>
      <c r="B14" s="499">
        <v>214128</v>
      </c>
      <c r="C14" s="499">
        <v>39933</v>
      </c>
      <c r="D14" s="499">
        <v>4474297</v>
      </c>
      <c r="E14" s="499">
        <v>859851</v>
      </c>
      <c r="F14" s="499"/>
      <c r="I14" s="500">
        <f t="shared" si="2"/>
        <v>5588209</v>
      </c>
      <c r="J14" s="500">
        <f t="shared" si="0"/>
        <v>254061</v>
      </c>
      <c r="K14" s="740">
        <f t="shared" si="1"/>
        <v>5334148</v>
      </c>
      <c r="L14" s="746">
        <f t="shared" si="3"/>
        <v>0</v>
      </c>
    </row>
    <row r="15" spans="1:13" ht="15.95" customHeight="1" x14ac:dyDescent="0.4">
      <c r="A15" s="512">
        <v>2000</v>
      </c>
      <c r="B15" s="497">
        <v>260249</v>
      </c>
      <c r="C15" s="497">
        <v>40093</v>
      </c>
      <c r="D15" s="497">
        <v>5272813</v>
      </c>
      <c r="E15" s="497">
        <v>784371</v>
      </c>
      <c r="F15" s="497"/>
      <c r="G15" s="497"/>
      <c r="H15" s="497"/>
      <c r="I15" s="498">
        <f t="shared" si="2"/>
        <v>6357526</v>
      </c>
      <c r="J15" s="498">
        <f t="shared" si="0"/>
        <v>300342</v>
      </c>
      <c r="K15" s="741">
        <f t="shared" si="1"/>
        <v>6057184</v>
      </c>
      <c r="L15" s="747">
        <f t="shared" si="3"/>
        <v>0</v>
      </c>
    </row>
    <row r="16" spans="1:13" ht="15.95" customHeight="1" x14ac:dyDescent="0.4">
      <c r="A16" s="511">
        <v>2001</v>
      </c>
      <c r="B16" s="499">
        <v>236249</v>
      </c>
      <c r="C16" s="499">
        <v>31412</v>
      </c>
      <c r="D16" s="499">
        <v>5822142</v>
      </c>
      <c r="E16" s="499">
        <v>563363</v>
      </c>
      <c r="F16" s="499"/>
      <c r="I16" s="500">
        <f>SUM(B16:F16)</f>
        <v>6653166</v>
      </c>
      <c r="J16" s="500">
        <f t="shared" si="0"/>
        <v>267661</v>
      </c>
      <c r="K16" s="740">
        <f t="shared" si="1"/>
        <v>6385505</v>
      </c>
      <c r="L16" s="746">
        <f t="shared" si="3"/>
        <v>0</v>
      </c>
    </row>
    <row r="17" spans="1:12" ht="15.95" customHeight="1" x14ac:dyDescent="0.4">
      <c r="A17" s="512">
        <v>2002</v>
      </c>
      <c r="B17" s="497">
        <v>251789</v>
      </c>
      <c r="C17" s="497">
        <v>47913</v>
      </c>
      <c r="D17" s="497">
        <v>4825187</v>
      </c>
      <c r="E17" s="497">
        <v>1251460</v>
      </c>
      <c r="F17" s="497"/>
      <c r="G17" s="497"/>
      <c r="H17" s="497"/>
      <c r="I17" s="503">
        <f t="shared" ref="I17:I20" si="4">SUM(B17:F17)</f>
        <v>6376349</v>
      </c>
      <c r="J17" s="498">
        <f t="shared" si="0"/>
        <v>299702</v>
      </c>
      <c r="K17" s="741">
        <f t="shared" si="1"/>
        <v>6076647</v>
      </c>
      <c r="L17" s="747">
        <f t="shared" si="3"/>
        <v>0</v>
      </c>
    </row>
    <row r="18" spans="1:12" ht="15.95" customHeight="1" x14ac:dyDescent="0.4">
      <c r="A18" s="513">
        <v>2003</v>
      </c>
      <c r="B18" s="501">
        <v>202572</v>
      </c>
      <c r="C18" s="501">
        <v>49321</v>
      </c>
      <c r="D18" s="501">
        <v>4991500</v>
      </c>
      <c r="E18" s="501">
        <v>1435275</v>
      </c>
      <c r="F18" s="501"/>
      <c r="I18" s="500">
        <f t="shared" si="4"/>
        <v>6678668</v>
      </c>
      <c r="J18" s="500">
        <f t="shared" si="0"/>
        <v>251893</v>
      </c>
      <c r="K18" s="740">
        <f t="shared" si="1"/>
        <v>6426775</v>
      </c>
      <c r="L18" s="746">
        <f t="shared" si="3"/>
        <v>0</v>
      </c>
    </row>
    <row r="19" spans="1:12" ht="15.95" customHeight="1" x14ac:dyDescent="0.4">
      <c r="A19" s="514">
        <v>2004</v>
      </c>
      <c r="B19" s="498">
        <v>249318</v>
      </c>
      <c r="C19" s="498">
        <v>49448</v>
      </c>
      <c r="D19" s="498">
        <v>5248884</v>
      </c>
      <c r="E19" s="498">
        <v>1458164</v>
      </c>
      <c r="F19" s="498"/>
      <c r="G19" s="498"/>
      <c r="H19" s="498"/>
      <c r="I19" s="503">
        <f t="shared" si="4"/>
        <v>7005814</v>
      </c>
      <c r="J19" s="498">
        <f t="shared" si="0"/>
        <v>298766</v>
      </c>
      <c r="K19" s="741">
        <f t="shared" si="1"/>
        <v>6707048</v>
      </c>
      <c r="L19" s="747">
        <f t="shared" si="3"/>
        <v>0</v>
      </c>
    </row>
    <row r="20" spans="1:12" ht="15.95" customHeight="1" x14ac:dyDescent="0.4">
      <c r="A20" s="515">
        <v>2005</v>
      </c>
      <c r="B20" s="500">
        <v>238995</v>
      </c>
      <c r="C20" s="500">
        <v>63395</v>
      </c>
      <c r="D20" s="500">
        <v>5196723</v>
      </c>
      <c r="E20" s="500">
        <v>1614292</v>
      </c>
      <c r="F20" s="500"/>
      <c r="I20" s="500">
        <f t="shared" si="4"/>
        <v>7113405</v>
      </c>
      <c r="J20" s="500">
        <f t="shared" si="0"/>
        <v>302390</v>
      </c>
      <c r="K20" s="740">
        <f t="shared" si="1"/>
        <v>6811015</v>
      </c>
      <c r="L20" s="746">
        <f t="shared" si="3"/>
        <v>0</v>
      </c>
    </row>
    <row r="21" spans="1:12" ht="15.95" customHeight="1" x14ac:dyDescent="0.4">
      <c r="A21" s="514">
        <v>2006</v>
      </c>
      <c r="B21" s="498">
        <v>259746</v>
      </c>
      <c r="C21" s="498">
        <v>75240</v>
      </c>
      <c r="D21" s="498">
        <v>4908279</v>
      </c>
      <c r="E21" s="498">
        <v>1485823</v>
      </c>
      <c r="F21" s="498">
        <v>954046</v>
      </c>
      <c r="G21" s="733"/>
      <c r="H21" s="733">
        <v>46138</v>
      </c>
      <c r="I21" s="503">
        <f t="shared" ref="I21:I31" si="5">SUM(B21:H21)</f>
        <v>7729272</v>
      </c>
      <c r="J21" s="498">
        <f t="shared" si="0"/>
        <v>334986</v>
      </c>
      <c r="K21" s="741">
        <f t="shared" si="1"/>
        <v>6394102</v>
      </c>
      <c r="L21" s="747">
        <f t="shared" si="3"/>
        <v>954046</v>
      </c>
    </row>
    <row r="22" spans="1:12" ht="15.95" customHeight="1" x14ac:dyDescent="0.4">
      <c r="A22" s="516">
        <v>2007</v>
      </c>
      <c r="B22" s="501">
        <v>291587</v>
      </c>
      <c r="C22" s="501">
        <v>54899</v>
      </c>
      <c r="D22" s="501">
        <v>5172241</v>
      </c>
      <c r="E22" s="501">
        <v>1519065</v>
      </c>
      <c r="F22" s="501">
        <v>653828</v>
      </c>
      <c r="G22" s="734"/>
      <c r="H22" s="734">
        <v>50015</v>
      </c>
      <c r="I22" s="500">
        <f t="shared" si="5"/>
        <v>7741635</v>
      </c>
      <c r="J22" s="501">
        <f t="shared" si="0"/>
        <v>346486</v>
      </c>
      <c r="K22" s="740">
        <f t="shared" si="1"/>
        <v>6691306</v>
      </c>
      <c r="L22" s="746">
        <f t="shared" si="3"/>
        <v>653828</v>
      </c>
    </row>
    <row r="23" spans="1:12" ht="15.95" customHeight="1" x14ac:dyDescent="0.4">
      <c r="A23" s="514">
        <v>2008</v>
      </c>
      <c r="B23" s="498">
        <v>252694</v>
      </c>
      <c r="C23" s="498">
        <v>48313</v>
      </c>
      <c r="D23" s="498">
        <v>4701831</v>
      </c>
      <c r="E23" s="498">
        <v>1789979</v>
      </c>
      <c r="F23" s="498">
        <v>579578</v>
      </c>
      <c r="G23" s="733"/>
      <c r="H23" s="733">
        <v>46594</v>
      </c>
      <c r="I23" s="503">
        <f t="shared" si="5"/>
        <v>7418989</v>
      </c>
      <c r="J23" s="498">
        <f t="shared" si="0"/>
        <v>301007</v>
      </c>
      <c r="K23" s="741">
        <f t="shared" si="1"/>
        <v>6491810</v>
      </c>
      <c r="L23" s="747">
        <f t="shared" si="3"/>
        <v>579578</v>
      </c>
    </row>
    <row r="24" spans="1:12" ht="15.95" customHeight="1" x14ac:dyDescent="0.4">
      <c r="A24" s="516">
        <v>2009</v>
      </c>
      <c r="B24" s="501">
        <v>241219</v>
      </c>
      <c r="C24" s="501">
        <v>50667</v>
      </c>
      <c r="D24" s="501">
        <v>4671458</v>
      </c>
      <c r="E24" s="501">
        <v>1768079</v>
      </c>
      <c r="F24" s="501">
        <v>821696</v>
      </c>
      <c r="G24" s="735">
        <v>36064</v>
      </c>
      <c r="H24" s="735">
        <v>43387</v>
      </c>
      <c r="I24" s="500">
        <f t="shared" si="5"/>
        <v>7632570</v>
      </c>
      <c r="J24" s="501">
        <f t="shared" si="0"/>
        <v>291886</v>
      </c>
      <c r="K24" s="740">
        <f t="shared" si="1"/>
        <v>6439537</v>
      </c>
      <c r="L24" s="746">
        <f t="shared" si="3"/>
        <v>857760</v>
      </c>
    </row>
    <row r="25" spans="1:12" ht="15.95" customHeight="1" x14ac:dyDescent="0.4">
      <c r="A25" s="517">
        <v>2010</v>
      </c>
      <c r="B25" s="502">
        <v>257012</v>
      </c>
      <c r="C25" s="502">
        <v>48267</v>
      </c>
      <c r="D25" s="502">
        <v>4714664</v>
      </c>
      <c r="E25" s="502">
        <v>1503215</v>
      </c>
      <c r="F25" s="502">
        <v>959955</v>
      </c>
      <c r="G25" s="736">
        <v>697415</v>
      </c>
      <c r="H25" s="736">
        <v>42391</v>
      </c>
      <c r="I25" s="503">
        <f t="shared" si="5"/>
        <v>8222919</v>
      </c>
      <c r="J25" s="502">
        <f t="shared" si="0"/>
        <v>305279</v>
      </c>
      <c r="K25" s="741">
        <f t="shared" si="1"/>
        <v>6217879</v>
      </c>
      <c r="L25" s="747">
        <f t="shared" si="3"/>
        <v>1657370</v>
      </c>
    </row>
    <row r="26" spans="1:12" ht="15.95" customHeight="1" x14ac:dyDescent="0.4">
      <c r="A26" s="516">
        <v>2011</v>
      </c>
      <c r="B26" s="501">
        <v>258980</v>
      </c>
      <c r="C26" s="501">
        <v>58847</v>
      </c>
      <c r="D26" s="501">
        <v>4571098</v>
      </c>
      <c r="E26" s="501">
        <v>1653538</v>
      </c>
      <c r="F26" s="501">
        <v>704182</v>
      </c>
      <c r="G26" s="735">
        <v>548418</v>
      </c>
      <c r="H26" s="735">
        <v>40034</v>
      </c>
      <c r="I26" s="500">
        <f t="shared" si="5"/>
        <v>7835097</v>
      </c>
      <c r="J26" s="501">
        <f t="shared" si="0"/>
        <v>317827</v>
      </c>
      <c r="K26" s="742">
        <f t="shared" si="1"/>
        <v>6224636</v>
      </c>
      <c r="L26" s="746">
        <f t="shared" si="3"/>
        <v>1252600</v>
      </c>
    </row>
    <row r="27" spans="1:12" ht="15.95" customHeight="1" x14ac:dyDescent="0.4">
      <c r="A27" s="517">
        <v>2012</v>
      </c>
      <c r="B27" s="502">
        <v>265364</v>
      </c>
      <c r="C27" s="502">
        <v>56275</v>
      </c>
      <c r="D27" s="502">
        <v>4355999</v>
      </c>
      <c r="E27" s="502">
        <v>1593483</v>
      </c>
      <c r="F27" s="502">
        <v>830135</v>
      </c>
      <c r="G27" s="736">
        <v>676828</v>
      </c>
      <c r="H27" s="736">
        <v>51270</v>
      </c>
      <c r="I27" s="503">
        <f t="shared" si="5"/>
        <v>7829354</v>
      </c>
      <c r="J27" s="502">
        <f t="shared" si="0"/>
        <v>321639</v>
      </c>
      <c r="K27" s="743">
        <f t="shared" si="1"/>
        <v>5949482</v>
      </c>
      <c r="L27" s="747">
        <f t="shared" si="3"/>
        <v>1506963</v>
      </c>
    </row>
    <row r="28" spans="1:12" ht="15.95" customHeight="1" x14ac:dyDescent="0.4">
      <c r="A28" s="516">
        <v>2013</v>
      </c>
      <c r="B28" s="501">
        <v>270383</v>
      </c>
      <c r="C28" s="501">
        <v>53581</v>
      </c>
      <c r="D28" s="501">
        <v>4584764</v>
      </c>
      <c r="E28" s="501">
        <v>2069341</v>
      </c>
      <c r="F28" s="501">
        <v>713418</v>
      </c>
      <c r="G28" s="735">
        <v>591427</v>
      </c>
      <c r="H28" s="735">
        <v>257528</v>
      </c>
      <c r="I28" s="500">
        <f t="shared" si="5"/>
        <v>8540442</v>
      </c>
      <c r="J28" s="501">
        <f t="shared" si="0"/>
        <v>323964</v>
      </c>
      <c r="K28" s="742">
        <f t="shared" si="1"/>
        <v>6654105</v>
      </c>
      <c r="L28" s="746">
        <f t="shared" si="3"/>
        <v>1304845</v>
      </c>
    </row>
    <row r="29" spans="1:12" ht="15.95" customHeight="1" x14ac:dyDescent="0.4">
      <c r="A29" s="517">
        <v>2014</v>
      </c>
      <c r="B29" s="502">
        <v>258767</v>
      </c>
      <c r="C29" s="502">
        <v>55952</v>
      </c>
      <c r="D29" s="502">
        <v>4835007</v>
      </c>
      <c r="E29" s="502">
        <v>2073404</v>
      </c>
      <c r="F29" s="502">
        <v>896957</v>
      </c>
      <c r="G29" s="736">
        <v>597483</v>
      </c>
      <c r="H29" s="736">
        <v>432967</v>
      </c>
      <c r="I29" s="503">
        <f t="shared" si="5"/>
        <v>9150537</v>
      </c>
      <c r="J29" s="502">
        <f t="shared" si="0"/>
        <v>314719</v>
      </c>
      <c r="K29" s="743">
        <f t="shared" si="1"/>
        <v>6908411</v>
      </c>
      <c r="L29" s="747">
        <f t="shared" si="3"/>
        <v>1494440</v>
      </c>
    </row>
    <row r="30" spans="1:12" ht="15.95" customHeight="1" x14ac:dyDescent="0.4">
      <c r="A30" s="516">
        <v>2015</v>
      </c>
      <c r="B30" s="501">
        <v>270229</v>
      </c>
      <c r="C30" s="501">
        <v>47906</v>
      </c>
      <c r="D30" s="501">
        <v>5019799</v>
      </c>
      <c r="E30" s="501">
        <v>2319994</v>
      </c>
      <c r="F30" s="501">
        <v>751875</v>
      </c>
      <c r="G30" s="735">
        <v>649211</v>
      </c>
      <c r="H30" s="735">
        <v>431573</v>
      </c>
      <c r="I30" s="500">
        <f t="shared" si="5"/>
        <v>9490587</v>
      </c>
      <c r="J30" s="501">
        <f t="shared" si="0"/>
        <v>318135</v>
      </c>
      <c r="K30" s="742">
        <f t="shared" si="1"/>
        <v>7339793</v>
      </c>
      <c r="L30" s="746">
        <f t="shared" si="3"/>
        <v>1401086</v>
      </c>
    </row>
    <row r="31" spans="1:12" ht="15.95" customHeight="1" x14ac:dyDescent="0.4">
      <c r="A31" s="518">
        <v>2016</v>
      </c>
      <c r="B31" s="503">
        <v>288697</v>
      </c>
      <c r="C31" s="503">
        <v>43821</v>
      </c>
      <c r="D31" s="503">
        <v>4946025</v>
      </c>
      <c r="E31" s="503">
        <v>2310063</v>
      </c>
      <c r="F31" s="503">
        <v>885599</v>
      </c>
      <c r="G31" s="737">
        <v>651237</v>
      </c>
      <c r="H31" s="737">
        <v>428481</v>
      </c>
      <c r="I31" s="503">
        <f t="shared" si="5"/>
        <v>9553923</v>
      </c>
      <c r="J31" s="503">
        <f t="shared" si="0"/>
        <v>332518</v>
      </c>
      <c r="K31" s="744">
        <f>D31+E31</f>
        <v>7256088</v>
      </c>
      <c r="L31" s="747">
        <f t="shared" si="3"/>
        <v>1536836</v>
      </c>
    </row>
    <row r="32" spans="1:12" ht="15.95" customHeight="1" x14ac:dyDescent="0.4">
      <c r="A32" s="516">
        <v>2017</v>
      </c>
      <c r="B32" s="501">
        <v>284672</v>
      </c>
      <c r="C32" s="501">
        <v>45273</v>
      </c>
      <c r="D32" s="501">
        <v>5551583</v>
      </c>
      <c r="E32" s="501">
        <v>2592902</v>
      </c>
      <c r="F32" s="501">
        <v>1420151</v>
      </c>
      <c r="G32" s="735">
        <v>741762</v>
      </c>
      <c r="H32" s="735">
        <v>81341</v>
      </c>
      <c r="I32" s="500">
        <f>SUM(B32:H32)</f>
        <v>10717684</v>
      </c>
      <c r="J32" s="501">
        <f t="shared" si="0"/>
        <v>329945</v>
      </c>
      <c r="K32" s="742">
        <f>D32+E32</f>
        <v>8144485</v>
      </c>
      <c r="L32" s="746">
        <f t="shared" si="3"/>
        <v>2161913</v>
      </c>
    </row>
    <row r="33" spans="1:12" ht="15.95" customHeight="1" x14ac:dyDescent="0.4">
      <c r="A33" s="519" t="s">
        <v>294</v>
      </c>
      <c r="B33" s="520">
        <f>'Cycle Report'!N224+'Cycle Report'!M274</f>
        <v>281317</v>
      </c>
      <c r="C33" s="520">
        <f>'Cycle Report'!N230+'Cycle Report'!M280</f>
        <v>47304</v>
      </c>
      <c r="D33" s="520">
        <f>'Cycle Report'!N225+'Cycle Report'!M275</f>
        <v>5106271</v>
      </c>
      <c r="E33" s="520">
        <f>'Cycle Report'!N231+'Cycle Report'!M281</f>
        <v>2834194</v>
      </c>
      <c r="F33" s="520">
        <f>'Cycle Report'!N226+'Cycle Report'!M276</f>
        <v>1223945</v>
      </c>
      <c r="G33" s="738">
        <f>'Cycle Report'!N232+'Cycle Report'!M282</f>
        <v>526775</v>
      </c>
      <c r="H33" s="738">
        <f>'Cycle Report'!N227+'Cycle Report'!M277</f>
        <v>110733</v>
      </c>
      <c r="I33" s="503">
        <f>SUM(B33:H33)</f>
        <v>10130539</v>
      </c>
      <c r="J33" s="520">
        <f t="shared" si="0"/>
        <v>328621</v>
      </c>
      <c r="K33" s="744">
        <f>D33+E33</f>
        <v>7940465</v>
      </c>
      <c r="L33" s="747">
        <f>F33+G33</f>
        <v>1750720</v>
      </c>
    </row>
    <row r="34" spans="1:12" ht="15.95" customHeight="1" x14ac:dyDescent="0.4">
      <c r="A34" s="505" t="s">
        <v>188</v>
      </c>
      <c r="B34" s="504">
        <f t="shared" ref="B34:D34" si="6">(B33-B32)/B32</f>
        <v>-1.1785493480215826E-2</v>
      </c>
      <c r="C34" s="504">
        <f t="shared" si="6"/>
        <v>4.4861175535087137E-2</v>
      </c>
      <c r="D34" s="504">
        <f t="shared" si="6"/>
        <v>-8.021351747780768E-2</v>
      </c>
      <c r="E34" s="504">
        <f t="shared" ref="E34:L34" si="7">(E33-E32)/E32</f>
        <v>9.3058665541543795E-2</v>
      </c>
      <c r="F34" s="504">
        <f t="shared" si="7"/>
        <v>-0.13815854792905824</v>
      </c>
      <c r="G34" s="504">
        <f t="shared" si="7"/>
        <v>-0.28983285743944825</v>
      </c>
      <c r="H34" s="504">
        <f t="shared" si="7"/>
        <v>0.36134298816095206</v>
      </c>
      <c r="I34" s="504">
        <f t="shared" si="7"/>
        <v>-5.4782824348991815E-2</v>
      </c>
      <c r="J34" s="504">
        <f t="shared" si="7"/>
        <v>-4.0127900104562882E-3</v>
      </c>
      <c r="K34" s="504">
        <f t="shared" si="7"/>
        <v>-2.5050079900693537E-2</v>
      </c>
      <c r="L34" s="504">
        <f t="shared" si="7"/>
        <v>-0.19019868052044647</v>
      </c>
    </row>
    <row r="35" spans="1:12" ht="23.45" customHeight="1" x14ac:dyDescent="0.4">
      <c r="A35" s="491" t="s">
        <v>295</v>
      </c>
      <c r="B35" s="456"/>
      <c r="C35" s="456"/>
      <c r="D35" s="456"/>
      <c r="E35" s="456"/>
      <c r="F35" s="456"/>
      <c r="G35" s="456"/>
      <c r="H35" s="456"/>
      <c r="I35" s="456"/>
      <c r="J35" s="456"/>
    </row>
    <row r="36" spans="1:12" ht="18" customHeight="1" x14ac:dyDescent="0.4">
      <c r="A36" s="507" t="s">
        <v>364</v>
      </c>
      <c r="B36" s="494"/>
      <c r="C36" s="494"/>
      <c r="D36" s="494"/>
      <c r="E36" s="494"/>
      <c r="F36" s="494"/>
      <c r="G36" s="494"/>
      <c r="H36" s="494"/>
      <c r="I36" s="494"/>
      <c r="J36" s="495"/>
    </row>
    <row r="37" spans="1:12" x14ac:dyDescent="0.4">
      <c r="A37" s="776" t="s">
        <v>401</v>
      </c>
      <c r="B37" s="456"/>
      <c r="C37" s="456"/>
      <c r="D37" s="456"/>
      <c r="E37" s="456"/>
      <c r="F37" s="456"/>
      <c r="G37" s="456"/>
      <c r="H37" s="456"/>
      <c r="I37" s="456"/>
      <c r="J37" s="456"/>
    </row>
    <row r="60" spans="1:2" x14ac:dyDescent="0.4">
      <c r="A60" s="506">
        <v>2006</v>
      </c>
      <c r="B60" s="421">
        <v>46138</v>
      </c>
    </row>
    <row r="61" spans="1:2" x14ac:dyDescent="0.4">
      <c r="A61" s="506">
        <v>2007</v>
      </c>
      <c r="B61" s="410">
        <v>50015</v>
      </c>
    </row>
    <row r="62" spans="1:2" x14ac:dyDescent="0.4">
      <c r="A62" s="506">
        <v>2008</v>
      </c>
      <c r="B62" s="421">
        <v>46594</v>
      </c>
    </row>
    <row r="63" spans="1:2" x14ac:dyDescent="0.4">
      <c r="A63" s="506">
        <v>2009</v>
      </c>
      <c r="B63" s="410">
        <v>43387</v>
      </c>
    </row>
    <row r="64" spans="1:2" x14ac:dyDescent="0.4">
      <c r="A64" s="506">
        <v>2010</v>
      </c>
      <c r="B64" s="408">
        <v>42391</v>
      </c>
    </row>
    <row r="65" spans="1:2" x14ac:dyDescent="0.4">
      <c r="A65" s="506">
        <v>2011</v>
      </c>
      <c r="B65" s="410">
        <v>40034</v>
      </c>
    </row>
    <row r="66" spans="1:2" x14ac:dyDescent="0.4">
      <c r="A66" s="506">
        <v>2012</v>
      </c>
      <c r="B66" s="408">
        <v>51270</v>
      </c>
    </row>
    <row r="67" spans="1:2" x14ac:dyDescent="0.4">
      <c r="A67" s="506">
        <v>2013</v>
      </c>
      <c r="B67" s="410">
        <v>257528</v>
      </c>
    </row>
    <row r="68" spans="1:2" x14ac:dyDescent="0.4">
      <c r="A68" s="506">
        <v>2014</v>
      </c>
      <c r="B68" s="446">
        <v>432967</v>
      </c>
    </row>
    <row r="69" spans="1:2" x14ac:dyDescent="0.4">
      <c r="A69" s="506">
        <v>2015</v>
      </c>
      <c r="B69" s="496">
        <v>431573</v>
      </c>
    </row>
    <row r="70" spans="1:2" x14ac:dyDescent="0.4">
      <c r="A70" s="506">
        <v>2016</v>
      </c>
      <c r="B70" s="422">
        <v>428481</v>
      </c>
    </row>
    <row r="71" spans="1:2" x14ac:dyDescent="0.4">
      <c r="A71" s="506">
        <v>2017</v>
      </c>
      <c r="B71" s="422">
        <v>81341</v>
      </c>
    </row>
    <row r="72" spans="1:2" x14ac:dyDescent="0.4">
      <c r="A72" s="506" t="s">
        <v>293</v>
      </c>
      <c r="B72" s="153">
        <v>14545</v>
      </c>
    </row>
  </sheetData>
  <mergeCells count="1">
    <mergeCell ref="A1:J1"/>
  </mergeCells>
  <phoneticPr fontId="0" type="noConversion"/>
  <printOptions horizontalCentered="1" verticalCentered="1"/>
  <pageMargins left="0.25" right="0.25" top="0.5" bottom="0.5" header="0.3" footer="0.3"/>
  <pageSetup scale="83"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A1:P112"/>
  <sheetViews>
    <sheetView topLeftCell="D1" zoomScale="110" zoomScaleNormal="110" workbookViewId="0">
      <pane ySplit="2" topLeftCell="A21" activePane="bottomLeft" state="frozen"/>
      <selection activeCell="H171" sqref="H171"/>
      <selection pane="bottomLeft" activeCell="A36" sqref="A36:L36"/>
    </sheetView>
  </sheetViews>
  <sheetFormatPr defaultColWidth="9.140625" defaultRowHeight="20.25" x14ac:dyDescent="0.3"/>
  <cols>
    <col min="1" max="1" width="19.5703125" style="522" customWidth="1"/>
    <col min="2" max="2" width="17.140625" style="522" customWidth="1"/>
    <col min="3" max="3" width="16.28515625" style="522" bestFit="1" customWidth="1"/>
    <col min="4" max="4" width="15.42578125" style="522" customWidth="1"/>
    <col min="5" max="5" width="15.5703125" style="522" customWidth="1"/>
    <col min="6" max="7" width="17.7109375" style="522" customWidth="1"/>
    <col min="8" max="8" width="17.5703125" style="522" customWidth="1"/>
    <col min="9" max="9" width="17.140625" style="522" customWidth="1"/>
    <col min="10" max="10" width="20.140625" style="526" customWidth="1"/>
    <col min="11" max="11" width="11.5703125" style="155" customWidth="1"/>
    <col min="12" max="12" width="18.85546875" style="155" customWidth="1"/>
    <col min="13" max="13" width="9.140625" style="522"/>
    <col min="14" max="14" width="17.140625" style="522" bestFit="1" customWidth="1"/>
    <col min="15" max="15" width="9.140625" style="522"/>
    <col min="16" max="16" width="21.7109375" style="522" bestFit="1" customWidth="1"/>
    <col min="17" max="16384" width="9.140625" style="522"/>
  </cols>
  <sheetData>
    <row r="1" spans="1:12" x14ac:dyDescent="0.3">
      <c r="A1" s="841" t="s">
        <v>337</v>
      </c>
      <c r="B1" s="841"/>
      <c r="C1" s="841"/>
      <c r="D1" s="841"/>
      <c r="E1" s="841"/>
      <c r="F1" s="841"/>
      <c r="G1" s="841"/>
      <c r="H1" s="841"/>
      <c r="I1" s="841"/>
      <c r="J1" s="841"/>
      <c r="K1" s="841"/>
      <c r="L1" s="841"/>
    </row>
    <row r="2" spans="1:12" ht="48" x14ac:dyDescent="0.3">
      <c r="A2" s="536" t="s">
        <v>0</v>
      </c>
      <c r="B2" s="536" t="s">
        <v>339</v>
      </c>
      <c r="C2" s="536" t="s">
        <v>24</v>
      </c>
      <c r="D2" s="536" t="s">
        <v>25</v>
      </c>
      <c r="E2" s="536" t="s">
        <v>55</v>
      </c>
      <c r="F2" s="536" t="s">
        <v>56</v>
      </c>
      <c r="G2" s="536" t="s">
        <v>57</v>
      </c>
      <c r="H2" s="536" t="s">
        <v>27</v>
      </c>
      <c r="I2" s="537" t="s">
        <v>340</v>
      </c>
      <c r="J2" s="537" t="s">
        <v>338</v>
      </c>
      <c r="K2" s="538" t="s">
        <v>224</v>
      </c>
      <c r="L2" s="538" t="s">
        <v>413</v>
      </c>
    </row>
    <row r="3" spans="1:12" ht="21.6" customHeight="1" x14ac:dyDescent="0.3">
      <c r="A3" s="539">
        <v>1988</v>
      </c>
      <c r="B3" s="540">
        <v>883773</v>
      </c>
      <c r="C3" s="541">
        <v>4069935</v>
      </c>
      <c r="D3" s="540">
        <v>287009</v>
      </c>
      <c r="E3" s="541"/>
      <c r="F3" s="540">
        <v>4131054</v>
      </c>
      <c r="G3" s="540">
        <v>196522</v>
      </c>
      <c r="H3" s="540">
        <f t="shared" ref="H3:H31" si="0">SUM(C3,B3,D3)</f>
        <v>5240717</v>
      </c>
      <c r="I3" s="542">
        <f t="shared" ref="I3:I31" si="1">H3+E3-F3-G3</f>
        <v>913141</v>
      </c>
      <c r="J3" s="543">
        <f>(H3-F3)</f>
        <v>1109663</v>
      </c>
      <c r="K3" s="544"/>
      <c r="L3" s="567">
        <f>(I3/(F3+G3))</f>
        <v>0.21100519089670522</v>
      </c>
    </row>
    <row r="4" spans="1:12" ht="21.6" customHeight="1" x14ac:dyDescent="0.3">
      <c r="A4" s="545">
        <v>1989</v>
      </c>
      <c r="B4" s="546">
        <v>985452</v>
      </c>
      <c r="C4" s="547">
        <v>3732117</v>
      </c>
      <c r="D4" s="546">
        <v>254927</v>
      </c>
      <c r="E4" s="547"/>
      <c r="F4" s="546">
        <v>3860075</v>
      </c>
      <c r="G4" s="546">
        <v>273630</v>
      </c>
      <c r="H4" s="546">
        <f t="shared" si="0"/>
        <v>4972496</v>
      </c>
      <c r="I4" s="548">
        <f t="shared" si="1"/>
        <v>838791</v>
      </c>
      <c r="J4" s="548">
        <f t="shared" ref="J4:J31" si="2">(H4-F4)</f>
        <v>1112421</v>
      </c>
      <c r="K4" s="549">
        <f>(J4-J3)/J3</f>
        <v>2.4854392730045069E-3</v>
      </c>
      <c r="L4" s="572">
        <f t="shared" ref="L4:L32" si="3">(I4/(F4+G4))</f>
        <v>0.20291506046028926</v>
      </c>
    </row>
    <row r="5" spans="1:12" ht="21.6" customHeight="1" x14ac:dyDescent="0.3">
      <c r="A5" s="550">
        <v>1990</v>
      </c>
      <c r="B5" s="551">
        <v>1216958</v>
      </c>
      <c r="C5" s="552">
        <v>3403441</v>
      </c>
      <c r="D5" s="551">
        <v>379782</v>
      </c>
      <c r="E5" s="552"/>
      <c r="F5" s="551">
        <v>4031330</v>
      </c>
      <c r="G5" s="551">
        <v>197364</v>
      </c>
      <c r="H5" s="551">
        <f t="shared" si="0"/>
        <v>5000181</v>
      </c>
      <c r="I5" s="553">
        <f t="shared" si="1"/>
        <v>771487</v>
      </c>
      <c r="J5" s="554">
        <f t="shared" si="2"/>
        <v>968851</v>
      </c>
      <c r="K5" s="555">
        <f t="shared" ref="K5:K30" si="4">(J5-J4)/J4</f>
        <v>-0.12906085016374197</v>
      </c>
      <c r="L5" s="567">
        <f t="shared" si="3"/>
        <v>0.18244096167752974</v>
      </c>
    </row>
    <row r="6" spans="1:12" ht="21.6" customHeight="1" x14ac:dyDescent="0.3">
      <c r="A6" s="545">
        <v>1991</v>
      </c>
      <c r="B6" s="546">
        <v>1261045</v>
      </c>
      <c r="C6" s="547">
        <v>4173775</v>
      </c>
      <c r="D6" s="546">
        <v>426010</v>
      </c>
      <c r="E6" s="547"/>
      <c r="F6" s="546">
        <v>4549625</v>
      </c>
      <c r="G6" s="546">
        <v>174733</v>
      </c>
      <c r="H6" s="546">
        <f t="shared" si="0"/>
        <v>5860830</v>
      </c>
      <c r="I6" s="548">
        <f t="shared" si="1"/>
        <v>1136472</v>
      </c>
      <c r="J6" s="548">
        <f t="shared" si="2"/>
        <v>1311205</v>
      </c>
      <c r="K6" s="549">
        <f t="shared" si="4"/>
        <v>0.35336083670244445</v>
      </c>
      <c r="L6" s="572">
        <f t="shared" si="3"/>
        <v>0.24055585965331164</v>
      </c>
    </row>
    <row r="7" spans="1:12" ht="21.6" customHeight="1" x14ac:dyDescent="0.3">
      <c r="A7" s="550">
        <v>1992</v>
      </c>
      <c r="B7" s="551">
        <v>1151398</v>
      </c>
      <c r="C7" s="552">
        <v>4103005</v>
      </c>
      <c r="D7" s="551">
        <v>463667</v>
      </c>
      <c r="E7" s="552"/>
      <c r="F7" s="551">
        <v>4170298</v>
      </c>
      <c r="G7" s="551">
        <v>164366</v>
      </c>
      <c r="H7" s="551">
        <f t="shared" si="0"/>
        <v>5718070</v>
      </c>
      <c r="I7" s="553">
        <f t="shared" si="1"/>
        <v>1383406</v>
      </c>
      <c r="J7" s="554">
        <f t="shared" si="2"/>
        <v>1547772</v>
      </c>
      <c r="K7" s="555">
        <f t="shared" si="4"/>
        <v>0.18041953775344055</v>
      </c>
      <c r="L7" s="567">
        <f t="shared" si="3"/>
        <v>0.31914953500432791</v>
      </c>
    </row>
    <row r="8" spans="1:12" ht="21.6" customHeight="1" x14ac:dyDescent="0.3">
      <c r="A8" s="545">
        <v>1993</v>
      </c>
      <c r="B8" s="546">
        <v>1428245</v>
      </c>
      <c r="C8" s="547">
        <v>3909085</v>
      </c>
      <c r="D8" s="546">
        <v>374013</v>
      </c>
      <c r="E8" s="547"/>
      <c r="F8" s="546">
        <v>4370977</v>
      </c>
      <c r="G8" s="546">
        <v>151109</v>
      </c>
      <c r="H8" s="546">
        <f t="shared" si="0"/>
        <v>5711343</v>
      </c>
      <c r="I8" s="548">
        <f t="shared" si="1"/>
        <v>1189257</v>
      </c>
      <c r="J8" s="548">
        <f t="shared" si="2"/>
        <v>1340366</v>
      </c>
      <c r="K8" s="549">
        <f t="shared" si="4"/>
        <v>-0.13400294100164623</v>
      </c>
      <c r="L8" s="572">
        <f t="shared" si="3"/>
        <v>0.26298858535640413</v>
      </c>
    </row>
    <row r="9" spans="1:12" ht="21.6" customHeight="1" x14ac:dyDescent="0.3">
      <c r="A9" s="550">
        <v>1994</v>
      </c>
      <c r="B9" s="551">
        <v>1213923</v>
      </c>
      <c r="C9" s="552">
        <v>4667629</v>
      </c>
      <c r="D9" s="551">
        <v>572830</v>
      </c>
      <c r="E9" s="552"/>
      <c r="F9" s="551">
        <v>5053585</v>
      </c>
      <c r="G9" s="551">
        <v>214060</v>
      </c>
      <c r="H9" s="551">
        <f t="shared" si="0"/>
        <v>6454382</v>
      </c>
      <c r="I9" s="553">
        <f t="shared" si="1"/>
        <v>1186737</v>
      </c>
      <c r="J9" s="554">
        <f t="shared" si="2"/>
        <v>1400797</v>
      </c>
      <c r="K9" s="555">
        <f t="shared" si="4"/>
        <v>4.5085446810796452E-2</v>
      </c>
      <c r="L9" s="567">
        <f t="shared" si="3"/>
        <v>0.22528796074906338</v>
      </c>
    </row>
    <row r="10" spans="1:12" ht="21.6" customHeight="1" x14ac:dyDescent="0.3">
      <c r="A10" s="545">
        <v>1995</v>
      </c>
      <c r="B10" s="546">
        <v>1256548</v>
      </c>
      <c r="C10" s="547">
        <v>4182947</v>
      </c>
      <c r="D10" s="546">
        <v>574656</v>
      </c>
      <c r="E10" s="547"/>
      <c r="F10" s="546">
        <v>4775426</v>
      </c>
      <c r="G10" s="546">
        <v>351655</v>
      </c>
      <c r="H10" s="546">
        <f t="shared" si="0"/>
        <v>6014151</v>
      </c>
      <c r="I10" s="548">
        <f t="shared" si="1"/>
        <v>887070</v>
      </c>
      <c r="J10" s="548">
        <f t="shared" si="2"/>
        <v>1238725</v>
      </c>
      <c r="K10" s="549">
        <f t="shared" si="4"/>
        <v>-0.11569984801509427</v>
      </c>
      <c r="L10" s="572">
        <f t="shared" si="3"/>
        <v>0.17301657609856369</v>
      </c>
    </row>
    <row r="11" spans="1:12" ht="21.6" customHeight="1" x14ac:dyDescent="0.3">
      <c r="A11" s="550">
        <v>1996</v>
      </c>
      <c r="B11" s="551">
        <v>983858</v>
      </c>
      <c r="C11" s="552">
        <v>4668479</v>
      </c>
      <c r="D11" s="551">
        <v>511273</v>
      </c>
      <c r="E11" s="551">
        <v>22206</v>
      </c>
      <c r="F11" s="551">
        <v>4771237</v>
      </c>
      <c r="G11" s="551">
        <v>193260</v>
      </c>
      <c r="H11" s="551">
        <f t="shared" si="0"/>
        <v>6163610</v>
      </c>
      <c r="I11" s="553">
        <f t="shared" si="1"/>
        <v>1221319</v>
      </c>
      <c r="J11" s="554">
        <f t="shared" si="2"/>
        <v>1392373</v>
      </c>
      <c r="K11" s="555">
        <f t="shared" si="4"/>
        <v>0.12403721568548305</v>
      </c>
      <c r="L11" s="567">
        <f t="shared" si="3"/>
        <v>0.24601062302988602</v>
      </c>
    </row>
    <row r="12" spans="1:12" ht="21.6" customHeight="1" x14ac:dyDescent="0.3">
      <c r="A12" s="545">
        <v>1997</v>
      </c>
      <c r="B12" s="546">
        <v>1251968</v>
      </c>
      <c r="C12" s="547">
        <v>5480360</v>
      </c>
      <c r="D12" s="546">
        <v>476902</v>
      </c>
      <c r="E12" s="546">
        <v>-12372</v>
      </c>
      <c r="F12" s="546">
        <v>5120594</v>
      </c>
      <c r="G12" s="546">
        <v>38823</v>
      </c>
      <c r="H12" s="546">
        <f t="shared" si="0"/>
        <v>7209230</v>
      </c>
      <c r="I12" s="548">
        <f t="shared" si="1"/>
        <v>2037441</v>
      </c>
      <c r="J12" s="548">
        <f t="shared" si="2"/>
        <v>2088636</v>
      </c>
      <c r="K12" s="549">
        <f t="shared" si="4"/>
        <v>0.50005494217425939</v>
      </c>
      <c r="L12" s="572">
        <f t="shared" si="3"/>
        <v>0.394897524274545</v>
      </c>
    </row>
    <row r="13" spans="1:12" ht="21.6" customHeight="1" x14ac:dyDescent="0.3">
      <c r="A13" s="550">
        <v>1998</v>
      </c>
      <c r="B13" s="551">
        <v>2195873</v>
      </c>
      <c r="C13" s="552">
        <v>5463594</v>
      </c>
      <c r="D13" s="551">
        <v>608876</v>
      </c>
      <c r="E13" s="551">
        <v>19444</v>
      </c>
      <c r="F13" s="551">
        <v>5161732</v>
      </c>
      <c r="G13" s="551">
        <v>18689</v>
      </c>
      <c r="H13" s="551">
        <f t="shared" si="0"/>
        <v>8268343</v>
      </c>
      <c r="I13" s="553">
        <f t="shared" si="1"/>
        <v>3107366</v>
      </c>
      <c r="J13" s="554">
        <f t="shared" si="2"/>
        <v>3106611</v>
      </c>
      <c r="K13" s="555">
        <f t="shared" si="4"/>
        <v>0.48738746243960174</v>
      </c>
      <c r="L13" s="567">
        <f t="shared" si="3"/>
        <v>0.59982885560845345</v>
      </c>
    </row>
    <row r="14" spans="1:12" ht="21.6" customHeight="1" x14ac:dyDescent="0.3">
      <c r="A14" s="545">
        <v>1999</v>
      </c>
      <c r="B14" s="546">
        <v>3058921</v>
      </c>
      <c r="C14" s="547">
        <v>6355413</v>
      </c>
      <c r="D14" s="546">
        <v>659975</v>
      </c>
      <c r="E14" s="546">
        <v>87217</v>
      </c>
      <c r="F14" s="546">
        <v>5510370</v>
      </c>
      <c r="G14" s="546">
        <v>378089</v>
      </c>
      <c r="H14" s="546">
        <f t="shared" si="0"/>
        <v>10074309</v>
      </c>
      <c r="I14" s="548">
        <f t="shared" si="1"/>
        <v>4273067</v>
      </c>
      <c r="J14" s="548">
        <f t="shared" si="2"/>
        <v>4563939</v>
      </c>
      <c r="K14" s="549">
        <f t="shared" si="4"/>
        <v>0.46910540135214868</v>
      </c>
      <c r="L14" s="572">
        <f t="shared" si="3"/>
        <v>0.72566812471650055</v>
      </c>
    </row>
    <row r="15" spans="1:12" ht="21.6" customHeight="1" x14ac:dyDescent="0.3">
      <c r="A15" s="550">
        <v>2000</v>
      </c>
      <c r="B15" s="551">
        <v>4177384</v>
      </c>
      <c r="C15" s="552">
        <v>5585613</v>
      </c>
      <c r="D15" s="551">
        <v>623768</v>
      </c>
      <c r="E15" s="551">
        <v>78061</v>
      </c>
      <c r="F15" s="551">
        <v>6358615</v>
      </c>
      <c r="G15" s="551">
        <v>447869</v>
      </c>
      <c r="H15" s="551">
        <f t="shared" si="0"/>
        <v>10386765</v>
      </c>
      <c r="I15" s="553">
        <f t="shared" si="1"/>
        <v>3658342</v>
      </c>
      <c r="J15" s="554">
        <f t="shared" si="2"/>
        <v>4028150</v>
      </c>
      <c r="K15" s="555">
        <f t="shared" si="4"/>
        <v>-0.11739617904621424</v>
      </c>
      <c r="L15" s="567">
        <f t="shared" si="3"/>
        <v>0.53747896858348598</v>
      </c>
    </row>
    <row r="16" spans="1:12" ht="21.6" customHeight="1" x14ac:dyDescent="0.3">
      <c r="A16" s="545">
        <v>2001</v>
      </c>
      <c r="B16" s="546">
        <v>3731865</v>
      </c>
      <c r="C16" s="547">
        <v>4793480</v>
      </c>
      <c r="D16" s="546">
        <v>697028</v>
      </c>
      <c r="E16" s="546">
        <v>43364</v>
      </c>
      <c r="F16" s="546">
        <v>6653166</v>
      </c>
      <c r="G16" s="546">
        <v>167488</v>
      </c>
      <c r="H16" s="546">
        <f t="shared" si="0"/>
        <v>9222373</v>
      </c>
      <c r="I16" s="548">
        <f t="shared" si="1"/>
        <v>2445083</v>
      </c>
      <c r="J16" s="548">
        <f t="shared" si="2"/>
        <v>2569207</v>
      </c>
      <c r="K16" s="549">
        <f t="shared" si="4"/>
        <v>-0.36218685997294042</v>
      </c>
      <c r="L16" s="572">
        <f t="shared" si="3"/>
        <v>0.35848219247010626</v>
      </c>
    </row>
    <row r="17" spans="1:16" ht="21.6" customHeight="1" x14ac:dyDescent="0.3">
      <c r="A17" s="550">
        <v>2002</v>
      </c>
      <c r="B17" s="551">
        <v>2500915</v>
      </c>
      <c r="C17" s="552">
        <v>5695026</v>
      </c>
      <c r="D17" s="551">
        <v>925066</v>
      </c>
      <c r="E17" s="551">
        <v>-34153</v>
      </c>
      <c r="F17" s="551">
        <v>6376349</v>
      </c>
      <c r="G17" s="551">
        <v>212026</v>
      </c>
      <c r="H17" s="551">
        <f t="shared" si="0"/>
        <v>9121007</v>
      </c>
      <c r="I17" s="553">
        <f t="shared" si="1"/>
        <v>2498479</v>
      </c>
      <c r="J17" s="554">
        <f t="shared" si="2"/>
        <v>2744658</v>
      </c>
      <c r="K17" s="555">
        <f t="shared" si="4"/>
        <v>6.8289943161450206E-2</v>
      </c>
      <c r="L17" s="567">
        <f t="shared" si="3"/>
        <v>0.37922537803327833</v>
      </c>
    </row>
    <row r="18" spans="1:16" ht="21.6" customHeight="1" x14ac:dyDescent="0.3">
      <c r="A18" s="545">
        <v>2003</v>
      </c>
      <c r="B18" s="546">
        <v>2505654</v>
      </c>
      <c r="C18" s="547">
        <v>6198524</v>
      </c>
      <c r="D18" s="546">
        <v>1089165</v>
      </c>
      <c r="E18" s="546">
        <v>112337</v>
      </c>
      <c r="F18" s="548">
        <v>6678668</v>
      </c>
      <c r="G18" s="548">
        <v>148980</v>
      </c>
      <c r="H18" s="546">
        <f t="shared" si="0"/>
        <v>9793343</v>
      </c>
      <c r="I18" s="548">
        <f t="shared" si="1"/>
        <v>3078032</v>
      </c>
      <c r="J18" s="548">
        <f t="shared" si="2"/>
        <v>3114675</v>
      </c>
      <c r="K18" s="549">
        <f t="shared" si="4"/>
        <v>0.13481351774975242</v>
      </c>
      <c r="L18" s="572">
        <f t="shared" si="3"/>
        <v>0.45081878854914609</v>
      </c>
    </row>
    <row r="19" spans="1:16" ht="21.6" customHeight="1" x14ac:dyDescent="0.3">
      <c r="A19" s="550">
        <v>2004</v>
      </c>
      <c r="B19" s="553">
        <v>3257031</v>
      </c>
      <c r="C19" s="556">
        <v>6168261</v>
      </c>
      <c r="D19" s="553">
        <v>1048741</v>
      </c>
      <c r="E19" s="553">
        <v>-43227</v>
      </c>
      <c r="F19" s="553">
        <v>7005814</v>
      </c>
      <c r="G19" s="553">
        <v>189304</v>
      </c>
      <c r="H19" s="551">
        <f t="shared" si="0"/>
        <v>10474033</v>
      </c>
      <c r="I19" s="553">
        <f t="shared" si="1"/>
        <v>3235688</v>
      </c>
      <c r="J19" s="554">
        <f t="shared" si="2"/>
        <v>3468219</v>
      </c>
      <c r="K19" s="555">
        <f t="shared" si="4"/>
        <v>0.11350911411302946</v>
      </c>
      <c r="L19" s="567">
        <f t="shared" si="3"/>
        <v>0.44970603678772192</v>
      </c>
    </row>
    <row r="20" spans="1:16" ht="21.6" customHeight="1" x14ac:dyDescent="0.3">
      <c r="A20" s="545">
        <v>2005</v>
      </c>
      <c r="B20" s="548">
        <v>3271326</v>
      </c>
      <c r="C20" s="557">
        <v>6354516</v>
      </c>
      <c r="D20" s="548">
        <v>943316</v>
      </c>
      <c r="E20" s="548">
        <v>-202987</v>
      </c>
      <c r="F20" s="548">
        <v>7113405</v>
      </c>
      <c r="G20" s="548">
        <v>262942</v>
      </c>
      <c r="H20" s="546">
        <f t="shared" si="0"/>
        <v>10569158</v>
      </c>
      <c r="I20" s="548">
        <f t="shared" si="1"/>
        <v>2989824</v>
      </c>
      <c r="J20" s="548">
        <f t="shared" si="2"/>
        <v>3455753</v>
      </c>
      <c r="K20" s="549">
        <f t="shared" si="4"/>
        <v>-3.5943520290962019E-3</v>
      </c>
      <c r="L20" s="572">
        <f t="shared" si="3"/>
        <v>0.40532583404766614</v>
      </c>
    </row>
    <row r="21" spans="1:16" ht="21.6" customHeight="1" x14ac:dyDescent="0.3">
      <c r="A21" s="550">
        <v>2006</v>
      </c>
      <c r="B21" s="553">
        <f>'Cycle Report'!B307</f>
        <v>3036560</v>
      </c>
      <c r="C21" s="556">
        <f>'Cycle Report'!B316</f>
        <v>6780273</v>
      </c>
      <c r="D21" s="553">
        <f>'Cycle Report'!B318</f>
        <v>1108930</v>
      </c>
      <c r="E21" s="553">
        <f>'Cycle Report'!B321</f>
        <v>-86023</v>
      </c>
      <c r="F21" s="553">
        <f>'Cycle Report'!B334</f>
        <v>7729272</v>
      </c>
      <c r="G21" s="553">
        <f>'Cycle Report'!B335</f>
        <v>130008</v>
      </c>
      <c r="H21" s="551">
        <f t="shared" si="0"/>
        <v>10925763</v>
      </c>
      <c r="I21" s="553">
        <f t="shared" si="1"/>
        <v>2980460</v>
      </c>
      <c r="J21" s="554">
        <f t="shared" si="2"/>
        <v>3196491</v>
      </c>
      <c r="K21" s="555">
        <f t="shared" si="4"/>
        <v>-7.5023301723242369E-2</v>
      </c>
      <c r="L21" s="567">
        <f t="shared" si="3"/>
        <v>0.37922812267790434</v>
      </c>
    </row>
    <row r="22" spans="1:16" ht="21.6" customHeight="1" x14ac:dyDescent="0.3">
      <c r="A22" s="545">
        <v>2007</v>
      </c>
      <c r="B22" s="548">
        <f>'Cycle Report'!C307</f>
        <v>3169908</v>
      </c>
      <c r="C22" s="557">
        <f>'Cycle Report'!C316</f>
        <v>6547647</v>
      </c>
      <c r="D22" s="548">
        <f>'Cycle Report'!C318</f>
        <v>1002801</v>
      </c>
      <c r="E22" s="548">
        <f>'Cycle Report'!C321</f>
        <v>-61613</v>
      </c>
      <c r="F22" s="548">
        <f>'Cycle Report'!C334</f>
        <v>7741635</v>
      </c>
      <c r="G22" s="548">
        <f>'Cycle Report'!C335</f>
        <v>-38459</v>
      </c>
      <c r="H22" s="546">
        <f t="shared" si="0"/>
        <v>10720356</v>
      </c>
      <c r="I22" s="548">
        <f t="shared" si="1"/>
        <v>2955567</v>
      </c>
      <c r="J22" s="548">
        <f t="shared" si="2"/>
        <v>2978721</v>
      </c>
      <c r="K22" s="549">
        <f t="shared" si="4"/>
        <v>-6.812783142514714E-2</v>
      </c>
      <c r="L22" s="572">
        <f t="shared" si="3"/>
        <v>0.38368161392132283</v>
      </c>
    </row>
    <row r="23" spans="1:16" ht="21.6" customHeight="1" x14ac:dyDescent="0.3">
      <c r="A23" s="550">
        <v>2008</v>
      </c>
      <c r="B23" s="553">
        <f>'Cycle Report'!D307</f>
        <v>3020302</v>
      </c>
      <c r="C23" s="556">
        <f>'Cycle Report'!D316</f>
        <v>7860253</v>
      </c>
      <c r="D23" s="553">
        <f>'Cycle Report'!D318</f>
        <v>936594</v>
      </c>
      <c r="E23" s="553">
        <f>'Cycle Report'!D321</f>
        <v>127765</v>
      </c>
      <c r="F23" s="553">
        <f>'Cycle Report'!D334</f>
        <v>7418989</v>
      </c>
      <c r="G23" s="553">
        <f>'Cycle Report'!D335</f>
        <v>181597</v>
      </c>
      <c r="H23" s="551">
        <f t="shared" si="0"/>
        <v>11817149</v>
      </c>
      <c r="I23" s="553">
        <f t="shared" si="1"/>
        <v>4344328</v>
      </c>
      <c r="J23" s="554">
        <f t="shared" si="2"/>
        <v>4398160</v>
      </c>
      <c r="K23" s="555">
        <f t="shared" si="4"/>
        <v>0.47652633462482724</v>
      </c>
      <c r="L23" s="567">
        <f t="shared" si="3"/>
        <v>0.57157803358846282</v>
      </c>
    </row>
    <row r="24" spans="1:16" ht="21.6" customHeight="1" x14ac:dyDescent="0.3">
      <c r="A24" s="545">
        <v>2009</v>
      </c>
      <c r="B24" s="548">
        <f>'Cycle Report'!E307</f>
        <v>4456744</v>
      </c>
      <c r="C24" s="557">
        <f>'Cycle Report'!E316</f>
        <v>6932879</v>
      </c>
      <c r="D24" s="548">
        <f>'Cycle Report'!E318</f>
        <v>1117555</v>
      </c>
      <c r="E24" s="548">
        <f>'Cycle Report'!E321</f>
        <v>43553</v>
      </c>
      <c r="F24" s="548">
        <f>'Cycle Report'!E334</f>
        <v>7631697</v>
      </c>
      <c r="G24" s="548">
        <f>'Cycle Report'!E335</f>
        <v>307828</v>
      </c>
      <c r="H24" s="546">
        <f t="shared" si="0"/>
        <v>12507178</v>
      </c>
      <c r="I24" s="548">
        <f t="shared" si="1"/>
        <v>4611206</v>
      </c>
      <c r="J24" s="548">
        <f t="shared" si="2"/>
        <v>4875481</v>
      </c>
      <c r="K24" s="549">
        <f t="shared" si="4"/>
        <v>0.1085274296524001</v>
      </c>
      <c r="L24" s="572">
        <f t="shared" si="3"/>
        <v>0.58079116823739452</v>
      </c>
      <c r="P24" s="523"/>
    </row>
    <row r="25" spans="1:16" ht="21.6" customHeight="1" x14ac:dyDescent="0.3">
      <c r="A25" s="558">
        <v>2010</v>
      </c>
      <c r="B25" s="554">
        <f>'Cycle Report'!F307</f>
        <v>4662313</v>
      </c>
      <c r="C25" s="559">
        <f>'Cycle Report'!F316</f>
        <v>6797560</v>
      </c>
      <c r="D25" s="554">
        <f>'Cycle Report'!F318</f>
        <v>898779</v>
      </c>
      <c r="E25" s="554">
        <f>'Cycle Report'!F321</f>
        <v>283660</v>
      </c>
      <c r="F25" s="554">
        <f>'Cycle Report'!F334</f>
        <v>8222919</v>
      </c>
      <c r="G25" s="554">
        <f>'Cycle Report'!F335</f>
        <v>336822</v>
      </c>
      <c r="H25" s="554">
        <f t="shared" si="0"/>
        <v>12358652</v>
      </c>
      <c r="I25" s="553">
        <f t="shared" si="1"/>
        <v>4082571</v>
      </c>
      <c r="J25" s="554">
        <f t="shared" si="2"/>
        <v>4135733</v>
      </c>
      <c r="K25" s="555">
        <f t="shared" si="4"/>
        <v>-0.15172820897056105</v>
      </c>
      <c r="L25" s="567">
        <f t="shared" si="3"/>
        <v>0.47695029557553204</v>
      </c>
    </row>
    <row r="26" spans="1:16" ht="21.6" customHeight="1" x14ac:dyDescent="0.3">
      <c r="A26" s="560">
        <v>2011</v>
      </c>
      <c r="B26" s="548">
        <f>'Cycle Report'!G307</f>
        <v>4130116</v>
      </c>
      <c r="C26" s="561">
        <f>'Cycle Report'!G316</f>
        <v>7754592</v>
      </c>
      <c r="D26" s="548">
        <f>'Cycle Report'!G318</f>
        <v>1031729</v>
      </c>
      <c r="E26" s="548">
        <f>'Cycle Report'!G321</f>
        <v>6859</v>
      </c>
      <c r="F26" s="548">
        <f>'Cycle Report'!G334</f>
        <v>7835097</v>
      </c>
      <c r="G26" s="548">
        <f>'Cycle Report'!G335</f>
        <v>520394</v>
      </c>
      <c r="H26" s="548">
        <f t="shared" si="0"/>
        <v>12916437</v>
      </c>
      <c r="I26" s="548">
        <f t="shared" si="1"/>
        <v>4567805</v>
      </c>
      <c r="J26" s="548">
        <f t="shared" si="2"/>
        <v>5081340</v>
      </c>
      <c r="K26" s="549">
        <f t="shared" si="4"/>
        <v>0.22864314499993107</v>
      </c>
      <c r="L26" s="572">
        <f t="shared" si="3"/>
        <v>0.54668301360147475</v>
      </c>
      <c r="M26" s="522" t="s">
        <v>225</v>
      </c>
    </row>
    <row r="27" spans="1:16" ht="21.6" customHeight="1" x14ac:dyDescent="0.3">
      <c r="A27" s="558">
        <v>2012</v>
      </c>
      <c r="B27" s="554">
        <f>'Cycle Report'!H307</f>
        <v>4616296</v>
      </c>
      <c r="C27" s="559">
        <f>'Cycle Report'!H316</f>
        <v>7937249</v>
      </c>
      <c r="D27" s="554">
        <f>'Cycle Report'!H318</f>
        <v>1497547</v>
      </c>
      <c r="E27" s="554">
        <f>'Cycle Report'!H321</f>
        <v>-5794</v>
      </c>
      <c r="F27" s="554">
        <f>'Cycle Report'!H334</f>
        <v>7829354</v>
      </c>
      <c r="G27" s="554">
        <f>'Cycle Report'!H335</f>
        <v>422249</v>
      </c>
      <c r="H27" s="554">
        <f t="shared" si="0"/>
        <v>14051092</v>
      </c>
      <c r="I27" s="553">
        <f t="shared" si="1"/>
        <v>5793695</v>
      </c>
      <c r="J27" s="554">
        <f t="shared" si="2"/>
        <v>6221738</v>
      </c>
      <c r="K27" s="555">
        <f t="shared" si="4"/>
        <v>0.22442859560667069</v>
      </c>
      <c r="L27" s="567">
        <f t="shared" si="3"/>
        <v>0.7021296346903747</v>
      </c>
    </row>
    <row r="28" spans="1:16" ht="21.6" customHeight="1" x14ac:dyDescent="0.3">
      <c r="A28" s="560">
        <v>2013</v>
      </c>
      <c r="B28" s="548">
        <f>'Cycle Report'!I307</f>
        <v>5840392</v>
      </c>
      <c r="C28" s="561">
        <f>'Cycle Report'!I316</f>
        <v>8818612</v>
      </c>
      <c r="D28" s="548">
        <f>'Cycle Report'!I318</f>
        <v>1547487</v>
      </c>
      <c r="E28" s="548">
        <f>'Cycle Report'!I321</f>
        <v>92883</v>
      </c>
      <c r="F28" s="548">
        <f>'Cycle Report'!I334</f>
        <v>8540442</v>
      </c>
      <c r="G28" s="548">
        <f>'Cycle Report'!I335</f>
        <v>250150</v>
      </c>
      <c r="H28" s="548">
        <f t="shared" si="0"/>
        <v>16206491</v>
      </c>
      <c r="I28" s="548">
        <f t="shared" si="1"/>
        <v>7508782</v>
      </c>
      <c r="J28" s="548">
        <f t="shared" si="2"/>
        <v>7666049</v>
      </c>
      <c r="K28" s="549">
        <f t="shared" si="4"/>
        <v>0.23213947613994676</v>
      </c>
      <c r="L28" s="572">
        <f t="shared" si="3"/>
        <v>0.85418388204116402</v>
      </c>
    </row>
    <row r="29" spans="1:16" x14ac:dyDescent="0.3">
      <c r="A29" s="562">
        <v>2014</v>
      </c>
      <c r="B29" s="554">
        <f>'Cycle Report'!J307</f>
        <v>7479155</v>
      </c>
      <c r="C29" s="559">
        <f>'Cycle Report'!J316</f>
        <v>8058745</v>
      </c>
      <c r="D29" s="554">
        <f>'Cycle Report'!J318</f>
        <v>1847523</v>
      </c>
      <c r="E29" s="554">
        <f>'Cycle Report'!J321</f>
        <v>48006</v>
      </c>
      <c r="F29" s="554">
        <f>'Cycle Report'!J334</f>
        <v>9150537</v>
      </c>
      <c r="G29" s="554">
        <f>'Cycle Report'!J335</f>
        <v>611795</v>
      </c>
      <c r="H29" s="554">
        <f t="shared" si="0"/>
        <v>17385423</v>
      </c>
      <c r="I29" s="553">
        <f t="shared" si="1"/>
        <v>7671097</v>
      </c>
      <c r="J29" s="554">
        <f t="shared" si="2"/>
        <v>8234886</v>
      </c>
      <c r="K29" s="555">
        <f t="shared" si="4"/>
        <v>7.4202108543788337E-2</v>
      </c>
      <c r="L29" s="567">
        <f t="shared" si="3"/>
        <v>0.78578530211838726</v>
      </c>
    </row>
    <row r="30" spans="1:16" x14ac:dyDescent="0.3">
      <c r="A30" s="560">
        <v>2015</v>
      </c>
      <c r="B30" s="548">
        <f>'Cycle Report'!K307</f>
        <v>7922690</v>
      </c>
      <c r="C30" s="561">
        <f>'Cycle Report'!K316</f>
        <v>8059047</v>
      </c>
      <c r="D30" s="548">
        <f>'Cycle Report'!K318</f>
        <v>1822536</v>
      </c>
      <c r="E30" s="548">
        <f>'Cycle Report'!K321</f>
        <v>-38392</v>
      </c>
      <c r="F30" s="548">
        <f>'Cycle Report'!K334</f>
        <v>9490587</v>
      </c>
      <c r="G30" s="548">
        <f>'Cycle Report'!K335</f>
        <v>-30148</v>
      </c>
      <c r="H30" s="548">
        <f>SUM(C30,B30,D30)</f>
        <v>17804273</v>
      </c>
      <c r="I30" s="548">
        <f>H30+E30-F30-G30</f>
        <v>8305442</v>
      </c>
      <c r="J30" s="548">
        <f t="shared" si="2"/>
        <v>8313686</v>
      </c>
      <c r="K30" s="549">
        <f t="shared" si="4"/>
        <v>9.5690456431333712E-3</v>
      </c>
      <c r="L30" s="572">
        <f t="shared" si="3"/>
        <v>0.87791295943031822</v>
      </c>
      <c r="N30" s="524"/>
    </row>
    <row r="31" spans="1:16" x14ac:dyDescent="0.3">
      <c r="A31" s="563">
        <v>2016</v>
      </c>
      <c r="B31" s="564">
        <f>'Cycle Report'!L307</f>
        <v>8291068</v>
      </c>
      <c r="C31" s="564">
        <f>'Cycle Report'!L316</f>
        <v>9257745</v>
      </c>
      <c r="D31" s="564">
        <f>'Cycle Report'!L318</f>
        <v>2120194</v>
      </c>
      <c r="E31" s="564">
        <f>'Cycle Report'!L321</f>
        <v>-113707</v>
      </c>
      <c r="F31" s="564">
        <f>'Cycle Report'!L334</f>
        <v>9553923</v>
      </c>
      <c r="G31" s="564">
        <f>'Cycle Report'!L335</f>
        <v>255995</v>
      </c>
      <c r="H31" s="564">
        <f t="shared" si="0"/>
        <v>19669007</v>
      </c>
      <c r="I31" s="564">
        <f t="shared" si="1"/>
        <v>9745382</v>
      </c>
      <c r="J31" s="565">
        <f t="shared" si="2"/>
        <v>10115084</v>
      </c>
      <c r="K31" s="566">
        <f>(J31-J30)/J30</f>
        <v>0.21667861884608103</v>
      </c>
      <c r="L31" s="567">
        <f>(I31/(F31+G31))</f>
        <v>0.9934213517381083</v>
      </c>
    </row>
    <row r="32" spans="1:16" x14ac:dyDescent="0.3">
      <c r="A32" s="568">
        <v>2017</v>
      </c>
      <c r="B32" s="569">
        <f>'Cycle Report'!M307</f>
        <v>9624081</v>
      </c>
      <c r="C32" s="569">
        <f>'Cycle Report'!M316</f>
        <v>8121986</v>
      </c>
      <c r="D32" s="569">
        <f>'Cycle Report'!M318</f>
        <v>1417332</v>
      </c>
      <c r="E32" s="569">
        <f>'Cycle Report'!M321</f>
        <v>54880</v>
      </c>
      <c r="F32" s="569">
        <f>'Cycle Report'!M334</f>
        <v>10717684</v>
      </c>
      <c r="G32" s="569">
        <f>'Cycle Report'!M335</f>
        <v>1615702</v>
      </c>
      <c r="H32" s="569">
        <f>SUM(C32,B32,D32)</f>
        <v>19163399</v>
      </c>
      <c r="I32" s="569">
        <f>H32+E32-F32-G32</f>
        <v>6884893</v>
      </c>
      <c r="J32" s="570">
        <f>(H32-F32)</f>
        <v>8445715</v>
      </c>
      <c r="K32" s="571">
        <f>(J32-J31)/J31</f>
        <v>-0.1650375814970988</v>
      </c>
      <c r="L32" s="572">
        <f t="shared" si="3"/>
        <v>0.55823218376526929</v>
      </c>
    </row>
    <row r="33" spans="1:12" x14ac:dyDescent="0.3">
      <c r="A33" s="573" t="s">
        <v>294</v>
      </c>
      <c r="B33" s="574">
        <f>'Cycle Report'!N208</f>
        <v>6884626</v>
      </c>
      <c r="C33" s="574">
        <f>'Cycle Report'!N217</f>
        <v>8681622</v>
      </c>
      <c r="D33" s="574">
        <f>'Cycle Report'!N219+'Cycle Report'!M269</f>
        <v>1989643</v>
      </c>
      <c r="E33" s="574">
        <f>'Cycle Report'!N222+'Cycle Report'!M272</f>
        <v>-8701</v>
      </c>
      <c r="F33" s="574">
        <f>'Cycle Report'!N235+'Cycle Report'!M285</f>
        <v>10130539</v>
      </c>
      <c r="G33" s="574">
        <f>'Cycle Report'!N236+'Cycle Report'!M286</f>
        <v>1528474</v>
      </c>
      <c r="H33" s="574">
        <f>SUM(C33,B33,D33)</f>
        <v>17555891</v>
      </c>
      <c r="I33" s="574">
        <f>H33+E33-F33-G33</f>
        <v>5888177</v>
      </c>
      <c r="J33" s="575">
        <f>(H33-F33)</f>
        <v>7425352</v>
      </c>
      <c r="K33" s="576">
        <f>(J33-J32)/J32</f>
        <v>-0.1208142827457474</v>
      </c>
      <c r="L33" s="810">
        <f>(I33/(F33+G33))</f>
        <v>0.5050322012678089</v>
      </c>
    </row>
    <row r="34" spans="1:12" ht="31.5" x14ac:dyDescent="0.3">
      <c r="A34" s="577" t="s">
        <v>212</v>
      </c>
      <c r="B34" s="578">
        <f>(B33-B32)/B32</f>
        <v>-0.28464587943513775</v>
      </c>
      <c r="C34" s="578">
        <f>(C33-C32)/C32</f>
        <v>6.8903837066451479E-2</v>
      </c>
      <c r="D34" s="578">
        <f>(D33-D32)/D32</f>
        <v>0.40379459435051207</v>
      </c>
      <c r="E34" s="578">
        <f>((E33-E32)/E32)</f>
        <v>-1.158545918367347</v>
      </c>
      <c r="F34" s="578">
        <f>(F33-F32)/F32</f>
        <v>-5.4782824348991815E-2</v>
      </c>
      <c r="G34" s="578">
        <f>((G33-G32)/G32)</f>
        <v>-5.3987678420896926E-2</v>
      </c>
      <c r="H34" s="578">
        <f>(H33-H32)/H32</f>
        <v>-8.3884283784938146E-2</v>
      </c>
      <c r="I34" s="579">
        <f>(I33-I32)/I32</f>
        <v>-0.14476855341106973</v>
      </c>
      <c r="J34" s="580"/>
      <c r="K34" s="581"/>
      <c r="L34" s="581"/>
    </row>
    <row r="35" spans="1:12" s="525" customFormat="1" x14ac:dyDescent="0.3">
      <c r="A35" s="840" t="s">
        <v>363</v>
      </c>
      <c r="B35" s="840"/>
      <c r="C35" s="840"/>
      <c r="D35" s="840"/>
      <c r="E35" s="840"/>
      <c r="F35" s="840"/>
      <c r="G35" s="840"/>
      <c r="H35" s="840"/>
      <c r="I35" s="840"/>
      <c r="J35" s="840"/>
      <c r="K35" s="840"/>
      <c r="L35" s="840"/>
    </row>
    <row r="36" spans="1:12" ht="25.5" customHeight="1" x14ac:dyDescent="0.3">
      <c r="A36" s="839" t="s">
        <v>414</v>
      </c>
      <c r="B36" s="839"/>
      <c r="C36" s="839"/>
      <c r="D36" s="839"/>
      <c r="E36" s="839"/>
      <c r="F36" s="839"/>
      <c r="G36" s="839"/>
      <c r="H36" s="839"/>
      <c r="I36" s="839"/>
      <c r="J36" s="839"/>
      <c r="K36" s="839"/>
      <c r="L36" s="839"/>
    </row>
    <row r="50" spans="1:1" x14ac:dyDescent="0.3">
      <c r="A50" s="527">
        <v>1988</v>
      </c>
    </row>
    <row r="51" spans="1:1" x14ac:dyDescent="0.3">
      <c r="A51" s="528">
        <v>1989</v>
      </c>
    </row>
    <row r="52" spans="1:1" x14ac:dyDescent="0.3">
      <c r="A52" s="527">
        <v>1990</v>
      </c>
    </row>
    <row r="53" spans="1:1" x14ac:dyDescent="0.3">
      <c r="A53" s="528">
        <v>1991</v>
      </c>
    </row>
    <row r="54" spans="1:1" x14ac:dyDescent="0.3">
      <c r="A54" s="527">
        <v>1992</v>
      </c>
    </row>
    <row r="55" spans="1:1" x14ac:dyDescent="0.3">
      <c r="A55" s="528">
        <v>1993</v>
      </c>
    </row>
    <row r="56" spans="1:1" x14ac:dyDescent="0.3">
      <c r="A56" s="527">
        <v>1994</v>
      </c>
    </row>
    <row r="57" spans="1:1" x14ac:dyDescent="0.3">
      <c r="A57" s="528">
        <v>1995</v>
      </c>
    </row>
    <row r="58" spans="1:1" x14ac:dyDescent="0.3">
      <c r="A58" s="527">
        <v>1996</v>
      </c>
    </row>
    <row r="59" spans="1:1" x14ac:dyDescent="0.3">
      <c r="A59" s="528">
        <v>1997</v>
      </c>
    </row>
    <row r="60" spans="1:1" x14ac:dyDescent="0.3">
      <c r="A60" s="527">
        <v>1998</v>
      </c>
    </row>
    <row r="61" spans="1:1" x14ac:dyDescent="0.3">
      <c r="A61" s="528">
        <v>1999</v>
      </c>
    </row>
    <row r="62" spans="1:1" x14ac:dyDescent="0.3">
      <c r="A62" s="527">
        <v>2000</v>
      </c>
    </row>
    <row r="63" spans="1:1" x14ac:dyDescent="0.3">
      <c r="A63" s="528">
        <v>2001</v>
      </c>
    </row>
    <row r="64" spans="1:1" x14ac:dyDescent="0.3">
      <c r="A64" s="527">
        <v>2002</v>
      </c>
    </row>
    <row r="65" spans="1:1" x14ac:dyDescent="0.3">
      <c r="A65" s="528">
        <v>2003</v>
      </c>
    </row>
    <row r="66" spans="1:1" x14ac:dyDescent="0.3">
      <c r="A66" s="527">
        <v>2004</v>
      </c>
    </row>
    <row r="67" spans="1:1" x14ac:dyDescent="0.3">
      <c r="A67" s="528">
        <v>2005</v>
      </c>
    </row>
    <row r="68" spans="1:1" x14ac:dyDescent="0.3">
      <c r="A68" s="527">
        <v>2006</v>
      </c>
    </row>
    <row r="69" spans="1:1" x14ac:dyDescent="0.3">
      <c r="A69" s="528">
        <v>2007</v>
      </c>
    </row>
    <row r="70" spans="1:1" x14ac:dyDescent="0.3">
      <c r="A70" s="527">
        <v>2008</v>
      </c>
    </row>
    <row r="71" spans="1:1" x14ac:dyDescent="0.3">
      <c r="A71" s="528">
        <v>2009</v>
      </c>
    </row>
    <row r="72" spans="1:1" x14ac:dyDescent="0.3">
      <c r="A72" s="529">
        <v>2010</v>
      </c>
    </row>
    <row r="73" spans="1:1" x14ac:dyDescent="0.3">
      <c r="A73" s="530">
        <v>2011</v>
      </c>
    </row>
    <row r="74" spans="1:1" x14ac:dyDescent="0.3">
      <c r="A74" s="529">
        <v>2012</v>
      </c>
    </row>
    <row r="75" spans="1:1" x14ac:dyDescent="0.3">
      <c r="A75" s="530">
        <v>2013</v>
      </c>
    </row>
    <row r="76" spans="1:1" x14ac:dyDescent="0.3">
      <c r="A76" s="531">
        <v>2014</v>
      </c>
    </row>
    <row r="77" spans="1:1" x14ac:dyDescent="0.3">
      <c r="A77" s="530">
        <v>2015</v>
      </c>
    </row>
    <row r="78" spans="1:1" x14ac:dyDescent="0.3">
      <c r="A78" s="522" t="s">
        <v>265</v>
      </c>
    </row>
    <row r="81" spans="1:2" x14ac:dyDescent="0.3">
      <c r="A81" s="527">
        <v>1988</v>
      </c>
      <c r="B81" s="522">
        <v>883773</v>
      </c>
    </row>
    <row r="82" spans="1:2" x14ac:dyDescent="0.3">
      <c r="A82" s="528">
        <v>1989</v>
      </c>
      <c r="B82" s="522">
        <v>985452</v>
      </c>
    </row>
    <row r="83" spans="1:2" x14ac:dyDescent="0.3">
      <c r="A83" s="527">
        <v>1990</v>
      </c>
      <c r="B83" s="522">
        <v>1216958</v>
      </c>
    </row>
    <row r="84" spans="1:2" x14ac:dyDescent="0.3">
      <c r="A84" s="528">
        <v>1991</v>
      </c>
      <c r="B84" s="522">
        <v>1261045</v>
      </c>
    </row>
    <row r="85" spans="1:2" x14ac:dyDescent="0.3">
      <c r="A85" s="527">
        <v>1992</v>
      </c>
      <c r="B85" s="522">
        <v>1151398</v>
      </c>
    </row>
    <row r="86" spans="1:2" x14ac:dyDescent="0.3">
      <c r="A86" s="528">
        <v>1993</v>
      </c>
      <c r="B86" s="522">
        <v>1428245</v>
      </c>
    </row>
    <row r="87" spans="1:2" x14ac:dyDescent="0.3">
      <c r="A87" s="527">
        <v>1994</v>
      </c>
      <c r="B87" s="522">
        <v>1213923</v>
      </c>
    </row>
    <row r="88" spans="1:2" x14ac:dyDescent="0.3">
      <c r="A88" s="528">
        <v>1995</v>
      </c>
      <c r="B88" s="522">
        <v>1256548</v>
      </c>
    </row>
    <row r="89" spans="1:2" x14ac:dyDescent="0.3">
      <c r="A89" s="527">
        <v>1996</v>
      </c>
      <c r="B89" s="522">
        <v>983858</v>
      </c>
    </row>
    <row r="90" spans="1:2" x14ac:dyDescent="0.3">
      <c r="A90" s="528">
        <v>1997</v>
      </c>
      <c r="B90" s="522">
        <v>1251968</v>
      </c>
    </row>
    <row r="91" spans="1:2" x14ac:dyDescent="0.3">
      <c r="A91" s="527">
        <v>1998</v>
      </c>
      <c r="B91" s="522">
        <v>2195873</v>
      </c>
    </row>
    <row r="92" spans="1:2" x14ac:dyDescent="0.3">
      <c r="A92" s="528">
        <v>1999</v>
      </c>
      <c r="B92" s="522">
        <v>3058921</v>
      </c>
    </row>
    <row r="93" spans="1:2" x14ac:dyDescent="0.3">
      <c r="A93" s="527">
        <v>2000</v>
      </c>
      <c r="B93" s="522">
        <v>4177384</v>
      </c>
    </row>
    <row r="94" spans="1:2" x14ac:dyDescent="0.3">
      <c r="A94" s="528">
        <v>2001</v>
      </c>
      <c r="B94" s="522">
        <v>3731865</v>
      </c>
    </row>
    <row r="95" spans="1:2" x14ac:dyDescent="0.3">
      <c r="A95" s="527">
        <v>2002</v>
      </c>
      <c r="B95" s="522">
        <v>2500915</v>
      </c>
    </row>
    <row r="96" spans="1:2" x14ac:dyDescent="0.3">
      <c r="A96" s="528">
        <v>2003</v>
      </c>
      <c r="B96" s="522">
        <v>2505654</v>
      </c>
    </row>
    <row r="97" spans="1:2" x14ac:dyDescent="0.3">
      <c r="A97" s="527">
        <v>2004</v>
      </c>
      <c r="B97" s="522">
        <v>3257031</v>
      </c>
    </row>
    <row r="98" spans="1:2" x14ac:dyDescent="0.3">
      <c r="A98" s="528">
        <v>2005</v>
      </c>
      <c r="B98" s="522">
        <v>3271326</v>
      </c>
    </row>
    <row r="99" spans="1:2" x14ac:dyDescent="0.3">
      <c r="A99" s="527">
        <v>2006</v>
      </c>
      <c r="B99" s="522">
        <v>3036560</v>
      </c>
    </row>
    <row r="100" spans="1:2" x14ac:dyDescent="0.3">
      <c r="A100" s="528">
        <v>2007</v>
      </c>
      <c r="B100" s="522">
        <v>3169908</v>
      </c>
    </row>
    <row r="101" spans="1:2" x14ac:dyDescent="0.3">
      <c r="A101" s="527">
        <v>2008</v>
      </c>
      <c r="B101" s="291">
        <v>3020302</v>
      </c>
    </row>
    <row r="102" spans="1:2" x14ac:dyDescent="0.3">
      <c r="A102" s="528">
        <v>2009</v>
      </c>
      <c r="B102" s="532">
        <v>4445751</v>
      </c>
    </row>
    <row r="103" spans="1:2" x14ac:dyDescent="0.3">
      <c r="A103" s="529">
        <v>2010</v>
      </c>
      <c r="B103" s="290">
        <v>4662313</v>
      </c>
    </row>
    <row r="104" spans="1:2" x14ac:dyDescent="0.3">
      <c r="A104" s="530">
        <v>2011</v>
      </c>
      <c r="B104" s="532">
        <v>4130116</v>
      </c>
    </row>
    <row r="105" spans="1:2" x14ac:dyDescent="0.3">
      <c r="A105" s="529">
        <v>2012</v>
      </c>
      <c r="B105" s="290">
        <v>4616296</v>
      </c>
    </row>
    <row r="106" spans="1:2" x14ac:dyDescent="0.3">
      <c r="A106" s="530">
        <v>2013</v>
      </c>
      <c r="B106" s="532">
        <v>5840394</v>
      </c>
    </row>
    <row r="107" spans="1:2" x14ac:dyDescent="0.3">
      <c r="A107" s="531">
        <v>2014</v>
      </c>
      <c r="B107" s="290">
        <v>7479154</v>
      </c>
    </row>
    <row r="108" spans="1:2" x14ac:dyDescent="0.3">
      <c r="A108" s="530">
        <v>2015</v>
      </c>
      <c r="B108" s="532">
        <v>7922665</v>
      </c>
    </row>
    <row r="109" spans="1:2" x14ac:dyDescent="0.3">
      <c r="A109" s="533">
        <v>2016</v>
      </c>
      <c r="B109" s="534">
        <v>8291068</v>
      </c>
    </row>
    <row r="110" spans="1:2" x14ac:dyDescent="0.3">
      <c r="A110" s="533">
        <v>2017</v>
      </c>
      <c r="B110" s="535">
        <v>9624081</v>
      </c>
    </row>
    <row r="111" spans="1:2" x14ac:dyDescent="0.3">
      <c r="A111" s="533">
        <v>2018</v>
      </c>
      <c r="B111" s="534">
        <v>6884924</v>
      </c>
    </row>
    <row r="112" spans="1:2" x14ac:dyDescent="0.3">
      <c r="A112" s="522" t="s">
        <v>370</v>
      </c>
      <c r="B112" s="574">
        <v>5888177</v>
      </c>
    </row>
  </sheetData>
  <mergeCells count="3">
    <mergeCell ref="A36:L36"/>
    <mergeCell ref="A35:L35"/>
    <mergeCell ref="A1:L1"/>
  </mergeCells>
  <phoneticPr fontId="0" type="noConversion"/>
  <pageMargins left="0.25" right="0.25" top="0.5" bottom="0.5" header="0.3" footer="0.3"/>
  <pageSetup scale="67"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pageSetUpPr fitToPage="1"/>
  </sheetPr>
  <dimension ref="A1:O283"/>
  <sheetViews>
    <sheetView zoomScale="120" zoomScaleNormal="120" workbookViewId="0">
      <pane xSplit="1" ySplit="5" topLeftCell="B21" activePane="bottomRight" state="frozen"/>
      <selection activeCell="H171" sqref="H171"/>
      <selection pane="topRight" activeCell="H171" sqref="H171"/>
      <selection pane="bottomLeft" activeCell="H171" sqref="H171"/>
      <selection pane="bottomRight" activeCell="H29" sqref="H29"/>
    </sheetView>
  </sheetViews>
  <sheetFormatPr defaultRowHeight="12.75" x14ac:dyDescent="0.2"/>
  <cols>
    <col min="1" max="1" width="5.140625" bestFit="1" customWidth="1"/>
    <col min="2" max="2" width="1.140625" customWidth="1"/>
    <col min="3" max="3" width="62.140625" bestFit="1" customWidth="1"/>
    <col min="4" max="4" width="18.85546875" customWidth="1"/>
    <col min="5" max="5" width="17.7109375" customWidth="1"/>
    <col min="6" max="6" width="18.7109375" customWidth="1"/>
    <col min="7" max="7" width="13.42578125" customWidth="1"/>
    <col min="8" max="8" width="47.140625" style="164" customWidth="1"/>
    <col min="9" max="12" width="14.42578125" style="164" customWidth="1"/>
    <col min="15" max="15" width="9.85546875" bestFit="1" customWidth="1"/>
  </cols>
  <sheetData>
    <row r="1" spans="1:12" s="606" customFormat="1" ht="16.5" x14ac:dyDescent="0.25">
      <c r="A1" s="846" t="s">
        <v>296</v>
      </c>
      <c r="B1" s="846"/>
      <c r="C1" s="846"/>
      <c r="D1" s="846"/>
      <c r="E1" s="846"/>
      <c r="F1" s="846"/>
      <c r="G1" s="846"/>
      <c r="H1" s="846"/>
      <c r="I1" s="605"/>
      <c r="J1" s="605"/>
      <c r="K1" s="605"/>
      <c r="L1" s="605"/>
    </row>
    <row r="2" spans="1:12" s="606" customFormat="1" ht="16.5" x14ac:dyDescent="0.25">
      <c r="A2" s="846" t="s">
        <v>341</v>
      </c>
      <c r="B2" s="846"/>
      <c r="C2" s="846"/>
      <c r="D2" s="846"/>
      <c r="E2" s="846"/>
      <c r="F2" s="846"/>
      <c r="G2" s="846"/>
      <c r="H2" s="846"/>
      <c r="I2" s="605"/>
      <c r="J2" s="605"/>
      <c r="K2" s="605"/>
      <c r="L2" s="605"/>
    </row>
    <row r="3" spans="1:12" s="606" customFormat="1" ht="16.5" x14ac:dyDescent="0.25">
      <c r="A3" s="847" t="s">
        <v>371</v>
      </c>
      <c r="B3" s="847"/>
      <c r="C3" s="847"/>
      <c r="D3" s="847"/>
      <c r="E3" s="847"/>
      <c r="F3" s="847"/>
      <c r="G3" s="847"/>
      <c r="H3" s="847"/>
      <c r="I3" s="607"/>
      <c r="J3" s="607"/>
      <c r="K3" s="607"/>
      <c r="L3" s="607"/>
    </row>
    <row r="4" spans="1:12" ht="15.75" x14ac:dyDescent="0.25">
      <c r="I4" s="293"/>
      <c r="J4" s="293"/>
      <c r="K4" s="293"/>
      <c r="L4" s="293"/>
    </row>
    <row r="5" spans="1:12" s="151" customFormat="1" ht="54.6" customHeight="1" x14ac:dyDescent="0.35">
      <c r="A5" s="844"/>
      <c r="B5" s="844"/>
      <c r="C5" s="844"/>
      <c r="D5" s="731" t="s">
        <v>366</v>
      </c>
      <c r="E5" s="625" t="s">
        <v>297</v>
      </c>
      <c r="F5" s="626" t="s">
        <v>342</v>
      </c>
      <c r="G5" s="292" t="s">
        <v>400</v>
      </c>
      <c r="H5" s="363"/>
      <c r="I5" s="363"/>
      <c r="J5" s="363"/>
      <c r="K5" s="363"/>
      <c r="L5" s="363"/>
    </row>
    <row r="6" spans="1:12" s="151" customFormat="1" ht="19.7" customHeight="1" thickBot="1" x14ac:dyDescent="0.35">
      <c r="A6" s="845"/>
      <c r="B6" s="845"/>
      <c r="C6" s="845"/>
      <c r="D6" s="730"/>
      <c r="E6" s="843" t="s">
        <v>23</v>
      </c>
      <c r="F6" s="843"/>
      <c r="G6" s="191"/>
      <c r="H6" s="191"/>
      <c r="I6" s="191"/>
      <c r="J6" s="191"/>
      <c r="K6" s="191"/>
      <c r="L6" s="191"/>
    </row>
    <row r="7" spans="1:12" s="585" customFormat="1" ht="39.950000000000003" customHeight="1" x14ac:dyDescent="0.2">
      <c r="A7" s="582">
        <v>1</v>
      </c>
      <c r="B7" s="583"/>
      <c r="C7" s="608" t="s">
        <v>276</v>
      </c>
      <c r="D7" s="748">
        <f>'Total Available Supply and Sale'!I33/1000</f>
        <v>5888.1769999999997</v>
      </c>
      <c r="E7" s="616">
        <v>5562</v>
      </c>
      <c r="F7" s="621">
        <f>'Total Available Supply and Sale'!B33/1000</f>
        <v>6884.6260000000002</v>
      </c>
      <c r="G7" s="584"/>
      <c r="H7" s="584"/>
      <c r="I7" s="584"/>
      <c r="J7" s="584"/>
      <c r="K7" s="584"/>
      <c r="L7" s="584"/>
    </row>
    <row r="8" spans="1:12" s="585" customFormat="1" ht="39.950000000000003" customHeight="1" x14ac:dyDescent="0.2">
      <c r="A8" s="586"/>
      <c r="B8" s="587"/>
      <c r="C8" s="609" t="s">
        <v>15</v>
      </c>
      <c r="D8" s="771"/>
      <c r="E8" s="617"/>
      <c r="F8" s="622"/>
      <c r="G8" s="588"/>
      <c r="H8" s="588"/>
      <c r="I8" s="588"/>
      <c r="J8" s="588"/>
      <c r="K8" s="588"/>
      <c r="L8" s="588"/>
    </row>
    <row r="9" spans="1:12" s="585" customFormat="1" ht="39.950000000000003" customHeight="1" x14ac:dyDescent="0.2">
      <c r="A9" s="589">
        <v>2</v>
      </c>
      <c r="B9" s="590"/>
      <c r="C9" s="610" t="s">
        <v>37</v>
      </c>
      <c r="D9" s="772">
        <f>Estimate!D44</f>
        <v>8848.5714285714275</v>
      </c>
      <c r="E9" s="618">
        <v>8834</v>
      </c>
      <c r="F9" s="623">
        <f>'Total Available Supply and Sale'!C33/1000</f>
        <v>8681.6219999999994</v>
      </c>
      <c r="G9" s="588"/>
      <c r="H9" s="588"/>
      <c r="I9" s="588"/>
      <c r="J9" s="588"/>
      <c r="K9" s="588"/>
      <c r="L9" s="588"/>
    </row>
    <row r="10" spans="1:12" s="585" customFormat="1" ht="39.950000000000003" customHeight="1" x14ac:dyDescent="0.2">
      <c r="A10" s="589">
        <v>3</v>
      </c>
      <c r="B10" s="590"/>
      <c r="C10" s="610" t="s">
        <v>16</v>
      </c>
      <c r="D10" s="772">
        <f>F10*(1+G10)</f>
        <v>1750.8858400000001</v>
      </c>
      <c r="E10" s="618">
        <v>1765</v>
      </c>
      <c r="F10" s="777">
        <f>'Total Available Supply and Sale'!D33/1000</f>
        <v>1989.643</v>
      </c>
      <c r="G10" s="778">
        <v>-0.12</v>
      </c>
      <c r="H10" s="603" t="s">
        <v>320</v>
      </c>
      <c r="I10" s="591"/>
      <c r="J10" s="591"/>
      <c r="K10" s="591"/>
      <c r="L10" s="591"/>
    </row>
    <row r="11" spans="1:12" s="585" customFormat="1" ht="39.950000000000003" customHeight="1" x14ac:dyDescent="0.2">
      <c r="A11" s="589">
        <v>4</v>
      </c>
      <c r="B11" s="590"/>
      <c r="C11" s="610" t="s">
        <v>38</v>
      </c>
      <c r="D11" s="772">
        <f>SUM(D9:D10)</f>
        <v>10599.457268571428</v>
      </c>
      <c r="E11" s="618">
        <v>10600</v>
      </c>
      <c r="F11" s="623">
        <f>(F9+F10)</f>
        <v>10671.264999999999</v>
      </c>
      <c r="G11" s="588"/>
      <c r="H11" s="604"/>
      <c r="I11" s="588"/>
      <c r="J11" s="588"/>
      <c r="K11" s="588"/>
      <c r="L11" s="588"/>
    </row>
    <row r="12" spans="1:12" s="585" customFormat="1" ht="39.950000000000003" customHeight="1" x14ac:dyDescent="0.2">
      <c r="A12" s="589">
        <v>5</v>
      </c>
      <c r="B12" s="590"/>
      <c r="C12" s="610" t="s">
        <v>17</v>
      </c>
      <c r="D12" s="772">
        <f>SUM(D7,D11)</f>
        <v>16487.634268571426</v>
      </c>
      <c r="E12" s="618">
        <f>SUM(E7,E11)</f>
        <v>16162</v>
      </c>
      <c r="F12" s="623">
        <f>(F7+F11)</f>
        <v>17555.891</v>
      </c>
      <c r="G12" s="588"/>
      <c r="H12" s="604"/>
      <c r="I12" s="588"/>
      <c r="J12" s="588"/>
      <c r="K12" s="588"/>
      <c r="L12" s="588"/>
    </row>
    <row r="13" spans="1:12" s="585" customFormat="1" ht="39.950000000000003" customHeight="1" x14ac:dyDescent="0.2">
      <c r="A13" s="592"/>
      <c r="B13" s="593"/>
      <c r="C13" s="611" t="s">
        <v>18</v>
      </c>
      <c r="D13" s="771"/>
      <c r="E13" s="619"/>
      <c r="F13" s="624"/>
      <c r="G13" s="588"/>
      <c r="H13" s="604"/>
      <c r="I13" s="588"/>
      <c r="J13" s="588"/>
      <c r="K13" s="588"/>
      <c r="L13" s="588"/>
    </row>
    <row r="14" spans="1:12" s="585" customFormat="1" ht="39.950000000000003" customHeight="1" x14ac:dyDescent="0.2">
      <c r="A14" s="594">
        <v>6</v>
      </c>
      <c r="B14" s="595"/>
      <c r="C14" s="612" t="s">
        <v>214</v>
      </c>
      <c r="D14" s="774">
        <f>0.02*D7</f>
        <v>117.76353999999999</v>
      </c>
      <c r="E14" s="618">
        <v>111</v>
      </c>
      <c r="F14" s="623"/>
      <c r="G14" s="588"/>
      <c r="H14" s="604"/>
      <c r="I14" s="588"/>
      <c r="J14" s="588"/>
      <c r="K14" s="588"/>
      <c r="L14" s="588"/>
    </row>
    <row r="15" spans="1:12" s="585" customFormat="1" ht="39.950000000000003" customHeight="1" x14ac:dyDescent="0.2">
      <c r="A15" s="594">
        <v>7</v>
      </c>
      <c r="B15" s="595"/>
      <c r="C15" s="612" t="s">
        <v>109</v>
      </c>
      <c r="D15" s="774">
        <f>(0.04*D11)</f>
        <v>423.97829074285715</v>
      </c>
      <c r="E15" s="618">
        <v>424</v>
      </c>
      <c r="F15" s="623"/>
      <c r="G15" s="588"/>
      <c r="H15" s="604"/>
      <c r="I15" s="588"/>
      <c r="J15" s="588"/>
      <c r="K15" s="588"/>
      <c r="L15" s="588"/>
    </row>
    <row r="16" spans="1:12" s="585" customFormat="1" ht="39.950000000000003" customHeight="1" x14ac:dyDescent="0.2">
      <c r="A16" s="596">
        <v>8</v>
      </c>
      <c r="B16" s="597"/>
      <c r="C16" s="613" t="s">
        <v>39</v>
      </c>
      <c r="D16" s="802">
        <f>SUM(D14:D15)</f>
        <v>541.74183074285713</v>
      </c>
      <c r="E16" s="779">
        <f>SUM(E14:E15)</f>
        <v>535</v>
      </c>
      <c r="F16" s="780">
        <f>('Total Available Supply and Sale'!G33)/1000</f>
        <v>1528.4739999999999</v>
      </c>
      <c r="G16" s="588"/>
      <c r="H16" s="604" t="s">
        <v>321</v>
      </c>
      <c r="I16" s="588"/>
      <c r="J16" s="588"/>
      <c r="K16" s="588"/>
      <c r="L16" s="588"/>
    </row>
    <row r="17" spans="1:15" s="585" customFormat="1" ht="39.950000000000003" customHeight="1" x14ac:dyDescent="0.2">
      <c r="A17" s="589">
        <v>9</v>
      </c>
      <c r="B17" s="590"/>
      <c r="C17" s="610" t="s">
        <v>19</v>
      </c>
      <c r="D17" s="772">
        <f>SUM(D12-D16)</f>
        <v>15945.892437828568</v>
      </c>
      <c r="E17" s="618">
        <f>SUM(E12-E16)</f>
        <v>15627</v>
      </c>
      <c r="F17" s="623">
        <f>F12-F16</f>
        <v>16027.416999999999</v>
      </c>
      <c r="G17" s="588"/>
      <c r="H17" s="604"/>
      <c r="I17" s="588"/>
      <c r="J17" s="588"/>
      <c r="K17" s="588"/>
      <c r="L17" s="588"/>
      <c r="O17" s="598"/>
    </row>
    <row r="18" spans="1:15" s="585" customFormat="1" ht="39.950000000000003" customHeight="1" x14ac:dyDescent="0.2">
      <c r="A18" s="599" t="s">
        <v>20</v>
      </c>
      <c r="B18" s="600"/>
      <c r="C18" s="614" t="s">
        <v>21</v>
      </c>
      <c r="D18" s="771"/>
      <c r="E18" s="619"/>
      <c r="F18" s="624"/>
      <c r="G18" s="588"/>
      <c r="H18" s="604"/>
      <c r="I18" s="588"/>
      <c r="J18" s="588"/>
      <c r="K18" s="588"/>
      <c r="L18" s="588"/>
    </row>
    <row r="19" spans="1:15" s="585" customFormat="1" ht="39.950000000000003" customHeight="1" x14ac:dyDescent="0.2">
      <c r="A19" s="601">
        <v>10</v>
      </c>
      <c r="B19" s="602"/>
      <c r="C19" s="615" t="s">
        <v>40</v>
      </c>
      <c r="D19" s="772">
        <f>F19*(1+G19)</f>
        <v>345.05205000000001</v>
      </c>
      <c r="E19" s="618">
        <v>340</v>
      </c>
      <c r="F19" s="777">
        <f>Sales!J33/1000</f>
        <v>328.62099999999998</v>
      </c>
      <c r="G19" s="781">
        <v>0.05</v>
      </c>
      <c r="H19" s="603" t="s">
        <v>322</v>
      </c>
      <c r="I19" s="591"/>
      <c r="J19" s="591"/>
      <c r="K19" s="591"/>
      <c r="L19" s="591"/>
    </row>
    <row r="20" spans="1:15" s="585" customFormat="1" ht="39.950000000000003" customHeight="1" x14ac:dyDescent="0.2">
      <c r="A20" s="601">
        <v>11</v>
      </c>
      <c r="B20" s="602"/>
      <c r="C20" s="615" t="s">
        <v>41</v>
      </c>
      <c r="D20" s="774">
        <f>F20*(1+G20)</f>
        <v>9605.8796399999992</v>
      </c>
      <c r="E20" s="618">
        <v>10000</v>
      </c>
      <c r="F20" s="777">
        <f>(Sales!K33+Sales!L33+Sales!H33)/1000</f>
        <v>9801.9179999999997</v>
      </c>
      <c r="G20" s="778">
        <v>-0.02</v>
      </c>
      <c r="H20" s="603" t="s">
        <v>323</v>
      </c>
      <c r="I20" s="591"/>
      <c r="J20" s="591"/>
      <c r="K20" s="591"/>
      <c r="L20" s="591"/>
    </row>
    <row r="21" spans="1:15" s="585" customFormat="1" ht="39.950000000000003" customHeight="1" x14ac:dyDescent="0.2">
      <c r="A21" s="601">
        <v>12</v>
      </c>
      <c r="B21" s="602"/>
      <c r="C21" s="615" t="s">
        <v>22</v>
      </c>
      <c r="D21" s="772">
        <f>SUM(D19:D20)</f>
        <v>9950.9316899999994</v>
      </c>
      <c r="E21" s="618">
        <v>10340</v>
      </c>
      <c r="F21" s="623">
        <f>SUM(F19:F20)</f>
        <v>10130.538999999999</v>
      </c>
      <c r="G21" s="588"/>
      <c r="H21" s="588"/>
      <c r="I21" s="588"/>
      <c r="J21" s="588"/>
      <c r="K21" s="588"/>
      <c r="L21" s="588"/>
    </row>
    <row r="22" spans="1:15" s="585" customFormat="1" ht="39.950000000000003" customHeight="1" x14ac:dyDescent="0.2">
      <c r="A22" s="601">
        <v>13</v>
      </c>
      <c r="B22" s="602"/>
      <c r="C22" s="615" t="s">
        <v>319</v>
      </c>
      <c r="D22" s="772">
        <f>SUM(D17-D21)</f>
        <v>5994.9607478285689</v>
      </c>
      <c r="E22" s="618">
        <f>SUM(E17-E21)</f>
        <v>5287</v>
      </c>
      <c r="F22" s="623">
        <f>('Total Available Supply and Sale'!I33)/1000</f>
        <v>5888.1769999999997</v>
      </c>
      <c r="G22" s="588"/>
      <c r="H22" s="588"/>
      <c r="I22" s="588"/>
      <c r="J22" s="588"/>
      <c r="K22" s="588"/>
      <c r="L22" s="588"/>
    </row>
    <row r="23" spans="1:15" s="585" customFormat="1" ht="39.950000000000003" customHeight="1" thickBot="1" x14ac:dyDescent="0.25">
      <c r="A23" s="582">
        <v>14</v>
      </c>
      <c r="B23" s="583"/>
      <c r="C23" s="608" t="s">
        <v>399</v>
      </c>
      <c r="D23" s="773">
        <f>SUM(D22/(D21+D16))</f>
        <v>0.57134730590608707</v>
      </c>
      <c r="E23" s="620">
        <v>0.49</v>
      </c>
      <c r="F23" s="782">
        <f>SUM(F22/(F21+F16))</f>
        <v>0.5050322012678089</v>
      </c>
      <c r="G23" s="591"/>
      <c r="H23" s="591"/>
      <c r="I23" s="591"/>
      <c r="J23" s="591"/>
      <c r="K23" s="591"/>
      <c r="L23" s="591"/>
    </row>
    <row r="24" spans="1:15" ht="13.5" hidden="1" thickTop="1" x14ac:dyDescent="0.2">
      <c r="A24" s="3">
        <v>14</v>
      </c>
      <c r="B24" s="3"/>
      <c r="C24" s="4" t="s">
        <v>42</v>
      </c>
      <c r="D24" s="4"/>
      <c r="E24" s="2" t="s">
        <v>20</v>
      </c>
      <c r="F24" s="2"/>
      <c r="G24" s="2"/>
      <c r="H24" s="364"/>
      <c r="I24" s="364"/>
      <c r="J24" s="364"/>
      <c r="K24" s="364"/>
      <c r="L24" s="364"/>
    </row>
    <row r="25" spans="1:15" ht="13.5" hidden="1" thickTop="1" x14ac:dyDescent="0.2">
      <c r="A25" s="3"/>
      <c r="B25" s="3"/>
      <c r="C25" s="4"/>
      <c r="D25" s="4"/>
      <c r="E25" s="2"/>
      <c r="F25" s="2"/>
      <c r="G25" s="2"/>
      <c r="H25" s="364"/>
      <c r="I25" s="364"/>
      <c r="J25" s="364"/>
      <c r="K25" s="364"/>
      <c r="L25" s="364"/>
    </row>
    <row r="26" spans="1:15" ht="13.5" hidden="1" thickTop="1" x14ac:dyDescent="0.2">
      <c r="A26" s="3">
        <v>15</v>
      </c>
      <c r="B26" s="3"/>
      <c r="C26" s="4" t="s">
        <v>59</v>
      </c>
      <c r="D26" s="4"/>
      <c r="E26" s="2" t="e">
        <f>E22-E24</f>
        <v>#VALUE!</v>
      </c>
      <c r="F26" s="2"/>
      <c r="G26" s="2"/>
      <c r="H26" s="364"/>
      <c r="I26" s="364"/>
      <c r="J26" s="364"/>
      <c r="K26" s="364"/>
      <c r="L26" s="364"/>
    </row>
    <row r="27" spans="1:15" ht="15.75" x14ac:dyDescent="0.2">
      <c r="A27" s="17"/>
      <c r="B27" s="17"/>
      <c r="C27" s="17"/>
      <c r="D27" s="17"/>
      <c r="E27" s="17"/>
      <c r="F27" s="1"/>
      <c r="G27" s="1"/>
      <c r="H27" s="365"/>
      <c r="I27" s="365"/>
      <c r="J27" s="365"/>
      <c r="K27" s="365"/>
      <c r="L27" s="365"/>
    </row>
    <row r="28" spans="1:15" ht="20.25" x14ac:dyDescent="0.3">
      <c r="A28" s="1"/>
      <c r="B28" s="1"/>
      <c r="C28" s="154" t="s">
        <v>302</v>
      </c>
      <c r="D28" s="813">
        <f>D21</f>
        <v>9950.9316899999994</v>
      </c>
      <c r="E28" s="818">
        <f>E21</f>
        <v>10340</v>
      </c>
      <c r="F28" s="184" t="s">
        <v>303</v>
      </c>
      <c r="G28" s="184"/>
      <c r="H28" s="366"/>
      <c r="I28" s="366"/>
      <c r="J28" s="366"/>
      <c r="K28" s="366"/>
      <c r="L28" s="366"/>
    </row>
    <row r="29" spans="1:15" ht="20.25" x14ac:dyDescent="0.3">
      <c r="C29" s="154" t="s">
        <v>304</v>
      </c>
      <c r="D29" s="814"/>
      <c r="E29" s="816"/>
      <c r="F29" s="184"/>
      <c r="G29" s="361"/>
      <c r="H29" s="367"/>
      <c r="I29" s="367"/>
      <c r="J29" s="367"/>
      <c r="K29" s="367"/>
      <c r="L29" s="367"/>
    </row>
    <row r="30" spans="1:15" ht="20.25" x14ac:dyDescent="0.3">
      <c r="C30" s="154" t="s">
        <v>305</v>
      </c>
      <c r="D30" s="815">
        <f>D22</f>
        <v>5994.9607478285689</v>
      </c>
      <c r="E30" s="817">
        <f>E22</f>
        <v>5287</v>
      </c>
      <c r="F30" s="184" t="s">
        <v>306</v>
      </c>
      <c r="G30" s="361"/>
      <c r="H30" s="367"/>
      <c r="I30" s="367"/>
      <c r="J30" s="367"/>
      <c r="K30" s="367"/>
      <c r="L30" s="367"/>
    </row>
    <row r="31" spans="1:15" ht="20.25" x14ac:dyDescent="0.3">
      <c r="C31" s="154" t="s">
        <v>270</v>
      </c>
      <c r="D31" s="812">
        <f>SUM(D28,D30)</f>
        <v>15945.892437828568</v>
      </c>
      <c r="E31" s="811">
        <f>SUM(E28,E30)</f>
        <v>15627</v>
      </c>
      <c r="F31" s="184" t="s">
        <v>307</v>
      </c>
      <c r="G31" s="361"/>
      <c r="H31" s="367"/>
      <c r="I31" s="367"/>
      <c r="J31" s="367"/>
      <c r="K31" s="367"/>
      <c r="L31" s="367"/>
    </row>
    <row r="32" spans="1:15" ht="20.25" x14ac:dyDescent="0.3">
      <c r="E32" s="361"/>
      <c r="F32" s="361"/>
      <c r="G32" s="361"/>
      <c r="H32" s="367"/>
      <c r="I32" s="367"/>
      <c r="J32" s="367"/>
      <c r="K32" s="367"/>
      <c r="L32" s="367"/>
    </row>
    <row r="33" spans="1:12" ht="20.25" customHeight="1" x14ac:dyDescent="0.2">
      <c r="C33" s="842" t="s">
        <v>308</v>
      </c>
      <c r="D33" s="842"/>
      <c r="E33" s="842"/>
      <c r="F33" s="842"/>
      <c r="G33" s="842"/>
      <c r="H33" s="842"/>
      <c r="I33" s="842"/>
      <c r="J33" s="842"/>
      <c r="K33" s="842"/>
      <c r="L33" s="842"/>
    </row>
    <row r="34" spans="1:12" ht="18.75" customHeight="1" x14ac:dyDescent="0.2">
      <c r="C34" s="842"/>
      <c r="D34" s="842"/>
      <c r="E34" s="842"/>
      <c r="F34" s="842"/>
      <c r="G34" s="842"/>
      <c r="H34" s="842"/>
      <c r="I34" s="842"/>
      <c r="J34" s="842"/>
      <c r="K34" s="842"/>
      <c r="L34" s="842"/>
    </row>
    <row r="35" spans="1:12" x14ac:dyDescent="0.2">
      <c r="A35" s="1"/>
      <c r="B35" s="1"/>
      <c r="C35" s="1"/>
      <c r="D35" s="1"/>
      <c r="E35" s="1"/>
    </row>
    <row r="36" spans="1:12" x14ac:dyDescent="0.2">
      <c r="A36" s="1"/>
      <c r="B36" s="1"/>
      <c r="C36" s="1"/>
      <c r="D36" s="1"/>
      <c r="E36" s="1"/>
    </row>
    <row r="37" spans="1:12" x14ac:dyDescent="0.2">
      <c r="A37" s="1"/>
      <c r="B37" s="1"/>
      <c r="C37" s="1"/>
      <c r="D37" s="1"/>
      <c r="E37" s="1"/>
    </row>
    <row r="38" spans="1:12" x14ac:dyDescent="0.2">
      <c r="A38" s="1"/>
      <c r="B38" s="1"/>
      <c r="C38" s="1"/>
      <c r="D38" s="1"/>
      <c r="E38" s="1"/>
    </row>
    <row r="39" spans="1:12" x14ac:dyDescent="0.2">
      <c r="A39" s="1"/>
      <c r="B39" s="1"/>
      <c r="C39" s="1"/>
      <c r="D39" s="1"/>
      <c r="E39" s="1"/>
    </row>
    <row r="40" spans="1:12" x14ac:dyDescent="0.2">
      <c r="A40" s="1"/>
      <c r="B40" s="1"/>
      <c r="C40" s="1"/>
      <c r="D40" s="1"/>
      <c r="E40" s="1"/>
    </row>
    <row r="41" spans="1:12" x14ac:dyDescent="0.2">
      <c r="A41" s="1"/>
      <c r="B41" s="1"/>
      <c r="C41" s="1"/>
      <c r="D41" s="1"/>
      <c r="E41" s="1"/>
    </row>
    <row r="42" spans="1:12" x14ac:dyDescent="0.2">
      <c r="A42" s="1"/>
      <c r="B42" s="1"/>
      <c r="C42" s="1"/>
      <c r="D42" s="1"/>
      <c r="E42" s="1"/>
    </row>
    <row r="43" spans="1:12" x14ac:dyDescent="0.2">
      <c r="A43" s="1"/>
      <c r="B43" s="1"/>
      <c r="C43" s="1"/>
      <c r="D43" s="1"/>
      <c r="E43" s="1"/>
    </row>
    <row r="44" spans="1:12" x14ac:dyDescent="0.2">
      <c r="A44" s="1"/>
      <c r="B44" s="1"/>
      <c r="C44" s="1"/>
      <c r="D44" s="1"/>
      <c r="E44" s="1"/>
    </row>
    <row r="45" spans="1:12" x14ac:dyDescent="0.2">
      <c r="A45" s="1"/>
      <c r="B45" s="1"/>
      <c r="C45" s="1"/>
      <c r="D45" s="1"/>
      <c r="E45" s="1"/>
    </row>
    <row r="46" spans="1:12" x14ac:dyDescent="0.2">
      <c r="A46" s="1"/>
      <c r="B46" s="1"/>
      <c r="C46" s="1"/>
      <c r="D46" s="1"/>
      <c r="E46" s="1"/>
    </row>
    <row r="47" spans="1:12" x14ac:dyDescent="0.2">
      <c r="A47" s="1"/>
      <c r="B47" s="1"/>
      <c r="C47" s="1"/>
      <c r="D47" s="1"/>
      <c r="E47" s="1"/>
    </row>
    <row r="48" spans="1:12" x14ac:dyDescent="0.2">
      <c r="A48" s="1"/>
      <c r="B48" s="1"/>
      <c r="C48" s="1"/>
      <c r="D48" s="1"/>
      <c r="E48" s="1"/>
    </row>
    <row r="49" spans="1:5" x14ac:dyDescent="0.2">
      <c r="A49" s="1"/>
      <c r="B49" s="1"/>
      <c r="C49" s="1"/>
      <c r="D49" s="1"/>
      <c r="E49" s="1"/>
    </row>
    <row r="50" spans="1:5" x14ac:dyDescent="0.2">
      <c r="A50" s="1"/>
      <c r="B50" s="1"/>
      <c r="C50" s="1"/>
      <c r="D50" s="1"/>
      <c r="E50" s="1"/>
    </row>
    <row r="51" spans="1:5" x14ac:dyDescent="0.2">
      <c r="A51" s="1"/>
      <c r="B51" s="1"/>
      <c r="C51" s="1"/>
      <c r="D51" s="1"/>
      <c r="E51" s="1"/>
    </row>
    <row r="52" spans="1:5" x14ac:dyDescent="0.2">
      <c r="A52" s="1"/>
      <c r="B52" s="1"/>
      <c r="C52" s="1"/>
      <c r="D52" s="1"/>
      <c r="E52" s="1"/>
    </row>
    <row r="53" spans="1:5" x14ac:dyDescent="0.2">
      <c r="A53" s="1"/>
      <c r="B53" s="1"/>
      <c r="C53" s="1"/>
      <c r="D53" s="1"/>
      <c r="E53" s="1"/>
    </row>
    <row r="54" spans="1:5" x14ac:dyDescent="0.2">
      <c r="A54" s="1"/>
      <c r="B54" s="1"/>
      <c r="C54" s="1"/>
      <c r="D54" s="1"/>
      <c r="E54" s="1"/>
    </row>
    <row r="55" spans="1:5" x14ac:dyDescent="0.2">
      <c r="A55" s="1"/>
      <c r="B55" s="1"/>
      <c r="C55" s="1"/>
      <c r="D55" s="1"/>
      <c r="E55" s="1"/>
    </row>
    <row r="56" spans="1:5" x14ac:dyDescent="0.2">
      <c r="A56" s="1"/>
      <c r="B56" s="1"/>
      <c r="C56" s="1"/>
      <c r="D56" s="1"/>
      <c r="E56" s="1"/>
    </row>
    <row r="57" spans="1:5" x14ac:dyDescent="0.2">
      <c r="A57" s="1"/>
      <c r="B57" s="1"/>
      <c r="C57" s="1"/>
      <c r="D57" s="1"/>
      <c r="E57" s="1"/>
    </row>
    <row r="58" spans="1:5" x14ac:dyDescent="0.2">
      <c r="A58" s="1"/>
      <c r="B58" s="1"/>
      <c r="C58" s="1"/>
      <c r="D58" s="1"/>
      <c r="E58" s="1"/>
    </row>
    <row r="59" spans="1:5" x14ac:dyDescent="0.2">
      <c r="A59" s="1"/>
      <c r="B59" s="1"/>
      <c r="C59" s="1"/>
      <c r="D59" s="1"/>
      <c r="E59" s="1"/>
    </row>
    <row r="60" spans="1:5" x14ac:dyDescent="0.2">
      <c r="A60" s="1"/>
      <c r="B60" s="1"/>
      <c r="C60" s="1"/>
      <c r="D60" s="1"/>
      <c r="E60" s="1"/>
    </row>
    <row r="61" spans="1:5" x14ac:dyDescent="0.2">
      <c r="A61" s="1"/>
      <c r="B61" s="1"/>
      <c r="C61" s="1"/>
      <c r="D61" s="1"/>
      <c r="E61" s="1"/>
    </row>
    <row r="62" spans="1:5" x14ac:dyDescent="0.2">
      <c r="A62" s="1"/>
      <c r="B62" s="1"/>
      <c r="C62" s="1"/>
      <c r="D62" s="1"/>
      <c r="E62" s="1"/>
    </row>
    <row r="63" spans="1:5" x14ac:dyDescent="0.2">
      <c r="A63" s="1"/>
      <c r="B63" s="1"/>
      <c r="C63" s="1"/>
      <c r="D63" s="1"/>
      <c r="E63" s="1"/>
    </row>
    <row r="64" spans="1:5" x14ac:dyDescent="0.2">
      <c r="A64" s="1"/>
      <c r="B64" s="1"/>
      <c r="C64" s="1"/>
      <c r="D64" s="1"/>
      <c r="E64" s="1"/>
    </row>
    <row r="65" spans="1:5" x14ac:dyDescent="0.2">
      <c r="A65" s="1"/>
      <c r="B65" s="1"/>
      <c r="C65" s="1"/>
      <c r="D65" s="1"/>
      <c r="E65" s="1"/>
    </row>
    <row r="66" spans="1:5" x14ac:dyDescent="0.2">
      <c r="A66" s="1"/>
      <c r="B66" s="1"/>
      <c r="C66" s="1"/>
      <c r="D66" s="1"/>
      <c r="E66" s="1"/>
    </row>
    <row r="67" spans="1:5" x14ac:dyDescent="0.2">
      <c r="A67" s="1"/>
      <c r="B67" s="1"/>
      <c r="C67" s="1"/>
      <c r="D67" s="1"/>
      <c r="E67" s="1"/>
    </row>
    <row r="68" spans="1:5" x14ac:dyDescent="0.2">
      <c r="A68" s="1"/>
      <c r="B68" s="1"/>
      <c r="C68" s="1"/>
      <c r="D68" s="1"/>
      <c r="E68" s="1"/>
    </row>
    <row r="69" spans="1:5" x14ac:dyDescent="0.2">
      <c r="A69" s="1"/>
      <c r="B69" s="1"/>
      <c r="C69" s="1"/>
      <c r="D69" s="1"/>
      <c r="E69" s="1"/>
    </row>
    <row r="70" spans="1:5" x14ac:dyDescent="0.2">
      <c r="A70" s="1"/>
      <c r="B70" s="1"/>
      <c r="C70" s="1"/>
      <c r="D70" s="1"/>
      <c r="E70" s="1"/>
    </row>
    <row r="71" spans="1:5" x14ac:dyDescent="0.2">
      <c r="A71" s="1"/>
      <c r="B71" s="1"/>
      <c r="C71" s="1"/>
      <c r="D71" s="1"/>
      <c r="E71" s="1"/>
    </row>
    <row r="72" spans="1:5" x14ac:dyDescent="0.2">
      <c r="A72" s="1"/>
      <c r="B72" s="1"/>
      <c r="C72" s="1"/>
      <c r="D72" s="1"/>
      <c r="E72" s="1"/>
    </row>
    <row r="73" spans="1:5" x14ac:dyDescent="0.2">
      <c r="A73" s="1"/>
      <c r="B73" s="1"/>
      <c r="C73" s="1"/>
      <c r="D73" s="1"/>
      <c r="E73" s="1"/>
    </row>
    <row r="74" spans="1:5" x14ac:dyDescent="0.2">
      <c r="A74" s="1"/>
      <c r="B74" s="1"/>
      <c r="C74" s="1"/>
      <c r="D74" s="1"/>
      <c r="E74" s="1"/>
    </row>
    <row r="75" spans="1:5" x14ac:dyDescent="0.2">
      <c r="A75" s="1"/>
      <c r="B75" s="1"/>
      <c r="C75" s="1"/>
      <c r="D75" s="1"/>
      <c r="E75" s="1"/>
    </row>
    <row r="76" spans="1:5" x14ac:dyDescent="0.2">
      <c r="A76" s="1"/>
      <c r="B76" s="1"/>
      <c r="C76" s="1"/>
      <c r="D76" s="1"/>
      <c r="E76" s="1"/>
    </row>
    <row r="77" spans="1:5" x14ac:dyDescent="0.2">
      <c r="A77" s="1"/>
      <c r="B77" s="1"/>
      <c r="C77" s="1"/>
      <c r="D77" s="1"/>
      <c r="E77" s="1"/>
    </row>
    <row r="78" spans="1:5" x14ac:dyDescent="0.2">
      <c r="A78" s="1"/>
      <c r="B78" s="1"/>
      <c r="C78" s="1"/>
      <c r="D78" s="1"/>
      <c r="E78" s="1"/>
    </row>
    <row r="79" spans="1:5" x14ac:dyDescent="0.2">
      <c r="A79" s="1"/>
      <c r="B79" s="1"/>
      <c r="C79" s="1"/>
      <c r="D79" s="1"/>
      <c r="E79" s="1"/>
    </row>
    <row r="80" spans="1:5" x14ac:dyDescent="0.2">
      <c r="A80" s="1"/>
      <c r="B80" s="1"/>
      <c r="C80" s="1"/>
      <c r="D80" s="1"/>
      <c r="E80" s="1"/>
    </row>
    <row r="81" spans="1:5" x14ac:dyDescent="0.2">
      <c r="A81" s="1"/>
      <c r="B81" s="1"/>
      <c r="C81" s="1"/>
      <c r="D81" s="1"/>
      <c r="E81" s="1"/>
    </row>
    <row r="82" spans="1:5" x14ac:dyDescent="0.2">
      <c r="A82" s="1"/>
      <c r="B82" s="1"/>
      <c r="C82" s="1"/>
      <c r="D82" s="1"/>
      <c r="E82" s="1"/>
    </row>
    <row r="83" spans="1:5" x14ac:dyDescent="0.2">
      <c r="A83" s="1"/>
      <c r="B83" s="1"/>
      <c r="C83" s="1"/>
      <c r="D83" s="1"/>
      <c r="E83" s="1"/>
    </row>
    <row r="84" spans="1:5" x14ac:dyDescent="0.2">
      <c r="A84" s="1"/>
      <c r="B84" s="1"/>
      <c r="C84" s="1"/>
      <c r="D84" s="1"/>
      <c r="E84" s="1"/>
    </row>
    <row r="85" spans="1:5" x14ac:dyDescent="0.2">
      <c r="A85" s="1"/>
      <c r="B85" s="1"/>
      <c r="C85" s="1"/>
      <c r="D85" s="1"/>
      <c r="E85" s="1"/>
    </row>
    <row r="86" spans="1:5" x14ac:dyDescent="0.2">
      <c r="A86" s="1"/>
      <c r="B86" s="1"/>
      <c r="C86" s="1"/>
      <c r="D86" s="1"/>
      <c r="E86" s="1"/>
    </row>
    <row r="87" spans="1:5" x14ac:dyDescent="0.2">
      <c r="A87" s="1"/>
      <c r="B87" s="1"/>
      <c r="C87" s="1"/>
      <c r="D87" s="1"/>
      <c r="E87" s="1"/>
    </row>
    <row r="88" spans="1:5" x14ac:dyDescent="0.2">
      <c r="A88" s="1"/>
      <c r="B88" s="1"/>
      <c r="C88" s="1"/>
      <c r="D88" s="1"/>
      <c r="E88" s="1"/>
    </row>
    <row r="89" spans="1:5" x14ac:dyDescent="0.2">
      <c r="A89" s="1"/>
      <c r="B89" s="1"/>
      <c r="C89" s="1"/>
      <c r="D89" s="1"/>
      <c r="E89" s="1"/>
    </row>
    <row r="90" spans="1:5" x14ac:dyDescent="0.2">
      <c r="A90" s="1"/>
      <c r="B90" s="1"/>
      <c r="C90" s="1"/>
      <c r="D90" s="1"/>
      <c r="E90" s="1"/>
    </row>
    <row r="91" spans="1:5" x14ac:dyDescent="0.2">
      <c r="A91" s="1"/>
      <c r="B91" s="1"/>
      <c r="C91" s="1"/>
      <c r="D91" s="1"/>
      <c r="E91" s="1"/>
    </row>
    <row r="92" spans="1:5" x14ac:dyDescent="0.2">
      <c r="A92" s="1"/>
      <c r="B92" s="1"/>
      <c r="C92" s="1"/>
      <c r="D92" s="1"/>
      <c r="E92" s="1"/>
    </row>
    <row r="93" spans="1:5" x14ac:dyDescent="0.2">
      <c r="A93" s="1"/>
      <c r="B93" s="1"/>
      <c r="C93" s="1"/>
      <c r="D93" s="1"/>
      <c r="E93" s="1"/>
    </row>
    <row r="94" spans="1:5" x14ac:dyDescent="0.2">
      <c r="A94" s="1"/>
      <c r="B94" s="1"/>
      <c r="C94" s="1"/>
      <c r="D94" s="1"/>
      <c r="E94" s="1"/>
    </row>
    <row r="95" spans="1:5" x14ac:dyDescent="0.2">
      <c r="A95" s="1"/>
      <c r="B95" s="1"/>
      <c r="C95" s="1"/>
      <c r="D95" s="1"/>
      <c r="E95" s="1"/>
    </row>
    <row r="96" spans="1:5" x14ac:dyDescent="0.2">
      <c r="A96" s="1"/>
      <c r="B96" s="1"/>
      <c r="C96" s="1"/>
      <c r="D96" s="1"/>
      <c r="E96" s="1"/>
    </row>
    <row r="97" spans="1:5" x14ac:dyDescent="0.2">
      <c r="A97" s="1"/>
      <c r="B97" s="1"/>
      <c r="C97" s="1"/>
      <c r="D97" s="1"/>
      <c r="E97" s="1"/>
    </row>
    <row r="98" spans="1:5" x14ac:dyDescent="0.2">
      <c r="A98" s="1"/>
      <c r="B98" s="1"/>
      <c r="C98" s="1"/>
      <c r="D98" s="1"/>
      <c r="E98" s="1"/>
    </row>
    <row r="99" spans="1:5" x14ac:dyDescent="0.2">
      <c r="A99" s="1"/>
      <c r="B99" s="1"/>
      <c r="C99" s="1"/>
      <c r="D99" s="1"/>
      <c r="E99" s="1"/>
    </row>
    <row r="100" spans="1:5" x14ac:dyDescent="0.2">
      <c r="A100" s="1"/>
      <c r="B100" s="1"/>
      <c r="C100" s="1"/>
      <c r="D100" s="1"/>
      <c r="E100" s="1"/>
    </row>
    <row r="101" spans="1:5" x14ac:dyDescent="0.2">
      <c r="A101" s="1"/>
      <c r="B101" s="1"/>
      <c r="C101" s="1"/>
      <c r="D101" s="1"/>
      <c r="E101" s="1"/>
    </row>
    <row r="102" spans="1:5" x14ac:dyDescent="0.2">
      <c r="A102" s="1"/>
      <c r="B102" s="1"/>
      <c r="C102" s="1"/>
      <c r="D102" s="1"/>
      <c r="E102" s="1"/>
    </row>
    <row r="103" spans="1:5" x14ac:dyDescent="0.2">
      <c r="A103" s="1"/>
      <c r="B103" s="1"/>
      <c r="C103" s="1"/>
      <c r="D103" s="1"/>
      <c r="E103" s="1"/>
    </row>
    <row r="104" spans="1:5" x14ac:dyDescent="0.2">
      <c r="A104" s="1"/>
      <c r="B104" s="1"/>
      <c r="C104" s="1"/>
      <c r="D104" s="1"/>
      <c r="E104" s="1"/>
    </row>
    <row r="105" spans="1:5" x14ac:dyDescent="0.2">
      <c r="A105" s="1"/>
      <c r="B105" s="1"/>
      <c r="C105" s="1"/>
      <c r="D105" s="1"/>
      <c r="E105" s="1"/>
    </row>
    <row r="106" spans="1:5" x14ac:dyDescent="0.2">
      <c r="A106" s="1"/>
      <c r="B106" s="1"/>
      <c r="C106" s="1"/>
      <c r="D106" s="1"/>
      <c r="E106" s="1"/>
    </row>
    <row r="107" spans="1:5" x14ac:dyDescent="0.2">
      <c r="A107" s="1"/>
      <c r="B107" s="1"/>
      <c r="C107" s="1"/>
      <c r="D107" s="1"/>
      <c r="E107" s="1"/>
    </row>
    <row r="108" spans="1:5" x14ac:dyDescent="0.2">
      <c r="A108" s="1"/>
      <c r="B108" s="1"/>
      <c r="C108" s="1"/>
      <c r="D108" s="1"/>
      <c r="E108" s="1"/>
    </row>
    <row r="109" spans="1:5" x14ac:dyDescent="0.2">
      <c r="A109" s="1"/>
      <c r="B109" s="1"/>
      <c r="C109" s="1"/>
      <c r="D109" s="1"/>
      <c r="E109" s="1"/>
    </row>
    <row r="110" spans="1:5" x14ac:dyDescent="0.2">
      <c r="A110" s="1"/>
      <c r="B110" s="1"/>
      <c r="C110" s="1"/>
      <c r="D110" s="1"/>
      <c r="E110" s="1"/>
    </row>
    <row r="111" spans="1:5" x14ac:dyDescent="0.2">
      <c r="A111" s="1"/>
      <c r="B111" s="1"/>
      <c r="C111" s="1"/>
      <c r="D111" s="1"/>
      <c r="E111" s="1"/>
    </row>
    <row r="112" spans="1:5" x14ac:dyDescent="0.2">
      <c r="A112" s="1"/>
      <c r="B112" s="1"/>
      <c r="C112" s="1"/>
      <c r="D112" s="1"/>
      <c r="E112" s="1"/>
    </row>
    <row r="113" spans="1:5" x14ac:dyDescent="0.2">
      <c r="A113" s="1"/>
      <c r="B113" s="1"/>
      <c r="C113" s="1"/>
      <c r="D113" s="1"/>
      <c r="E113" s="1"/>
    </row>
    <row r="114" spans="1:5" x14ac:dyDescent="0.2">
      <c r="A114" s="1"/>
      <c r="B114" s="1"/>
      <c r="C114" s="1"/>
      <c r="D114" s="1"/>
      <c r="E114" s="1"/>
    </row>
    <row r="115" spans="1:5" x14ac:dyDescent="0.2">
      <c r="A115" s="1"/>
      <c r="B115" s="1"/>
      <c r="C115" s="1"/>
      <c r="D115" s="1"/>
      <c r="E115" s="1"/>
    </row>
    <row r="116" spans="1:5" x14ac:dyDescent="0.2">
      <c r="A116" s="1"/>
      <c r="B116" s="1"/>
      <c r="C116" s="1"/>
      <c r="D116" s="1"/>
      <c r="E116" s="1"/>
    </row>
    <row r="117" spans="1:5" x14ac:dyDescent="0.2">
      <c r="A117" s="1"/>
      <c r="B117" s="1"/>
      <c r="C117" s="1"/>
      <c r="D117" s="1"/>
      <c r="E117" s="1"/>
    </row>
    <row r="118" spans="1:5" x14ac:dyDescent="0.2">
      <c r="A118" s="1"/>
      <c r="B118" s="1"/>
      <c r="C118" s="1"/>
      <c r="D118" s="1"/>
      <c r="E118" s="1"/>
    </row>
    <row r="119" spans="1:5" x14ac:dyDescent="0.2">
      <c r="A119" s="1"/>
      <c r="B119" s="1"/>
      <c r="C119" s="1"/>
      <c r="D119" s="1"/>
      <c r="E119" s="1"/>
    </row>
    <row r="120" spans="1:5" x14ac:dyDescent="0.2">
      <c r="A120" s="1"/>
      <c r="B120" s="1"/>
      <c r="C120" s="1"/>
      <c r="D120" s="1"/>
      <c r="E120" s="1"/>
    </row>
    <row r="121" spans="1:5" x14ac:dyDescent="0.2">
      <c r="A121" s="1"/>
      <c r="B121" s="1"/>
      <c r="C121" s="1"/>
      <c r="D121" s="1"/>
      <c r="E121" s="1"/>
    </row>
    <row r="122" spans="1:5" x14ac:dyDescent="0.2">
      <c r="A122" s="1"/>
      <c r="B122" s="1"/>
      <c r="C122" s="1"/>
      <c r="D122" s="1"/>
      <c r="E122" s="1"/>
    </row>
    <row r="123" spans="1:5" x14ac:dyDescent="0.2">
      <c r="A123" s="1"/>
      <c r="B123" s="1"/>
      <c r="C123" s="1"/>
      <c r="D123" s="1"/>
      <c r="E123" s="1"/>
    </row>
    <row r="124" spans="1:5" x14ac:dyDescent="0.2">
      <c r="A124" s="1"/>
      <c r="B124" s="1"/>
      <c r="C124" s="1"/>
      <c r="D124" s="1"/>
      <c r="E124" s="1"/>
    </row>
    <row r="125" spans="1:5" x14ac:dyDescent="0.2">
      <c r="A125" s="1"/>
      <c r="B125" s="1"/>
      <c r="C125" s="1"/>
      <c r="D125" s="1"/>
      <c r="E125" s="1"/>
    </row>
    <row r="126" spans="1:5" x14ac:dyDescent="0.2">
      <c r="A126" s="1"/>
      <c r="B126" s="1"/>
      <c r="C126" s="1"/>
      <c r="D126" s="1"/>
      <c r="E126" s="1"/>
    </row>
    <row r="127" spans="1:5" x14ac:dyDescent="0.2">
      <c r="A127" s="1"/>
      <c r="B127" s="1"/>
      <c r="C127" s="1"/>
      <c r="D127" s="1"/>
      <c r="E127" s="1"/>
    </row>
    <row r="128" spans="1:5" x14ac:dyDescent="0.2">
      <c r="A128" s="1"/>
      <c r="B128" s="1"/>
      <c r="C128" s="1"/>
      <c r="D128" s="1"/>
      <c r="E128" s="1"/>
    </row>
    <row r="129" spans="1:5" x14ac:dyDescent="0.2">
      <c r="A129" s="1"/>
      <c r="B129" s="1"/>
      <c r="C129" s="1"/>
      <c r="D129" s="1"/>
      <c r="E129" s="1"/>
    </row>
    <row r="130" spans="1:5" x14ac:dyDescent="0.2">
      <c r="A130" s="1"/>
      <c r="B130" s="1"/>
      <c r="C130" s="1"/>
      <c r="D130" s="1"/>
      <c r="E130" s="1"/>
    </row>
    <row r="131" spans="1:5" x14ac:dyDescent="0.2">
      <c r="A131" s="1"/>
      <c r="B131" s="1"/>
      <c r="C131" s="1"/>
      <c r="D131" s="1"/>
      <c r="E131" s="1"/>
    </row>
    <row r="132" spans="1:5" x14ac:dyDescent="0.2">
      <c r="A132" s="1"/>
      <c r="B132" s="1"/>
      <c r="C132" s="1"/>
      <c r="D132" s="1"/>
      <c r="E132" s="1"/>
    </row>
    <row r="133" spans="1:5" x14ac:dyDescent="0.2">
      <c r="A133" s="1"/>
      <c r="B133" s="1"/>
      <c r="C133" s="1"/>
      <c r="D133" s="1"/>
      <c r="E133" s="1"/>
    </row>
    <row r="134" spans="1:5" x14ac:dyDescent="0.2">
      <c r="A134" s="1"/>
      <c r="B134" s="1"/>
      <c r="C134" s="1"/>
      <c r="D134" s="1"/>
      <c r="E134" s="1"/>
    </row>
    <row r="135" spans="1:5" x14ac:dyDescent="0.2">
      <c r="A135" s="1"/>
      <c r="B135" s="1"/>
      <c r="C135" s="1"/>
      <c r="D135" s="1"/>
      <c r="E135" s="1"/>
    </row>
    <row r="136" spans="1:5" x14ac:dyDescent="0.2">
      <c r="A136" s="1"/>
      <c r="B136" s="1"/>
      <c r="C136" s="1"/>
      <c r="D136" s="1"/>
      <c r="E136" s="1"/>
    </row>
    <row r="137" spans="1:5" x14ac:dyDescent="0.2">
      <c r="A137" s="1"/>
      <c r="B137" s="1"/>
      <c r="C137" s="1"/>
      <c r="D137" s="1"/>
      <c r="E137" s="1"/>
    </row>
    <row r="138" spans="1:5" x14ac:dyDescent="0.2">
      <c r="A138" s="1"/>
      <c r="B138" s="1"/>
      <c r="C138" s="1"/>
      <c r="D138" s="1"/>
      <c r="E138" s="1"/>
    </row>
    <row r="139" spans="1:5" x14ac:dyDescent="0.2">
      <c r="A139" s="1"/>
      <c r="B139" s="1"/>
      <c r="C139" s="1"/>
      <c r="D139" s="1"/>
      <c r="E139" s="1"/>
    </row>
    <row r="140" spans="1:5" x14ac:dyDescent="0.2">
      <c r="A140" s="1"/>
      <c r="B140" s="1"/>
      <c r="C140" s="1"/>
      <c r="D140" s="1"/>
      <c r="E140" s="1"/>
    </row>
    <row r="141" spans="1:5" x14ac:dyDescent="0.2">
      <c r="A141" s="1"/>
      <c r="B141" s="1"/>
      <c r="C141" s="1"/>
      <c r="D141" s="1"/>
      <c r="E141" s="1"/>
    </row>
    <row r="142" spans="1:5" x14ac:dyDescent="0.2">
      <c r="A142" s="1"/>
      <c r="B142" s="1"/>
      <c r="C142" s="1"/>
      <c r="D142" s="1"/>
      <c r="E142" s="1"/>
    </row>
    <row r="143" spans="1:5" x14ac:dyDescent="0.2">
      <c r="A143" s="1"/>
      <c r="B143" s="1"/>
      <c r="C143" s="1"/>
      <c r="D143" s="1"/>
      <c r="E143" s="1"/>
    </row>
    <row r="144" spans="1:5" x14ac:dyDescent="0.2">
      <c r="A144" s="1"/>
      <c r="B144" s="1"/>
      <c r="C144" s="1"/>
      <c r="D144" s="1"/>
      <c r="E144" s="1"/>
    </row>
    <row r="145" spans="1:5" x14ac:dyDescent="0.2">
      <c r="A145" s="1"/>
      <c r="B145" s="1"/>
      <c r="C145" s="1"/>
      <c r="D145" s="1"/>
      <c r="E145" s="1"/>
    </row>
    <row r="146" spans="1:5" x14ac:dyDescent="0.2">
      <c r="A146" s="1"/>
      <c r="B146" s="1"/>
      <c r="C146" s="1"/>
      <c r="D146" s="1"/>
      <c r="E146" s="1"/>
    </row>
    <row r="147" spans="1:5" x14ac:dyDescent="0.2">
      <c r="A147" s="1"/>
      <c r="B147" s="1"/>
      <c r="C147" s="1"/>
      <c r="D147" s="1"/>
      <c r="E147" s="1"/>
    </row>
    <row r="148" spans="1:5" x14ac:dyDescent="0.2">
      <c r="A148" s="1"/>
      <c r="B148" s="1"/>
      <c r="C148" s="1"/>
      <c r="D148" s="1"/>
      <c r="E148" s="1"/>
    </row>
    <row r="149" spans="1:5" x14ac:dyDescent="0.2">
      <c r="A149" s="1"/>
      <c r="B149" s="1"/>
      <c r="C149" s="1"/>
      <c r="D149" s="1"/>
      <c r="E149" s="1"/>
    </row>
    <row r="150" spans="1:5" x14ac:dyDescent="0.2">
      <c r="A150" s="1"/>
      <c r="B150" s="1"/>
      <c r="C150" s="1"/>
      <c r="D150" s="1"/>
      <c r="E150" s="1"/>
    </row>
    <row r="151" spans="1:5" x14ac:dyDescent="0.2">
      <c r="A151" s="1"/>
      <c r="B151" s="1"/>
      <c r="C151" s="1"/>
      <c r="D151" s="1"/>
      <c r="E151" s="1"/>
    </row>
    <row r="152" spans="1:5" x14ac:dyDescent="0.2">
      <c r="A152" s="1"/>
      <c r="B152" s="1"/>
      <c r="C152" s="1"/>
      <c r="D152" s="1"/>
      <c r="E152" s="1"/>
    </row>
    <row r="153" spans="1:5" x14ac:dyDescent="0.2">
      <c r="A153" s="1"/>
      <c r="B153" s="1"/>
      <c r="C153" s="1"/>
      <c r="D153" s="1"/>
      <c r="E153" s="1"/>
    </row>
    <row r="154" spans="1:5" x14ac:dyDescent="0.2">
      <c r="A154" s="1"/>
      <c r="B154" s="1"/>
      <c r="C154" s="1"/>
      <c r="D154" s="1"/>
      <c r="E154" s="1"/>
    </row>
    <row r="155" spans="1:5" x14ac:dyDescent="0.2">
      <c r="A155" s="1"/>
      <c r="B155" s="1"/>
      <c r="C155" s="1"/>
      <c r="D155" s="1"/>
      <c r="E155" s="1"/>
    </row>
    <row r="156" spans="1:5" x14ac:dyDescent="0.2">
      <c r="A156" s="1"/>
      <c r="B156" s="1"/>
      <c r="C156" s="1"/>
      <c r="D156" s="1"/>
      <c r="E156" s="1"/>
    </row>
    <row r="157" spans="1:5" x14ac:dyDescent="0.2">
      <c r="A157" s="1"/>
      <c r="B157" s="1"/>
      <c r="C157" s="1"/>
      <c r="D157" s="1"/>
      <c r="E157" s="1"/>
    </row>
    <row r="158" spans="1:5" x14ac:dyDescent="0.2">
      <c r="A158" s="1"/>
      <c r="B158" s="1"/>
      <c r="C158" s="1"/>
      <c r="D158" s="1"/>
      <c r="E158" s="1"/>
    </row>
    <row r="159" spans="1:5" x14ac:dyDescent="0.2">
      <c r="A159" s="1"/>
      <c r="B159" s="1"/>
      <c r="C159" s="1"/>
      <c r="D159" s="1"/>
      <c r="E159" s="1"/>
    </row>
    <row r="160" spans="1:5" x14ac:dyDescent="0.2">
      <c r="A160" s="1"/>
      <c r="B160" s="1"/>
      <c r="C160" s="1"/>
      <c r="D160" s="1"/>
      <c r="E160" s="1"/>
    </row>
    <row r="161" spans="1:5" x14ac:dyDescent="0.2">
      <c r="A161" s="1"/>
      <c r="B161" s="1"/>
      <c r="C161" s="1"/>
      <c r="D161" s="1"/>
      <c r="E161" s="1"/>
    </row>
    <row r="162" spans="1:5" x14ac:dyDescent="0.2">
      <c r="A162" s="1"/>
      <c r="B162" s="1"/>
      <c r="C162" s="1"/>
      <c r="D162" s="1"/>
      <c r="E162" s="1"/>
    </row>
    <row r="163" spans="1:5" x14ac:dyDescent="0.2">
      <c r="A163" s="1"/>
      <c r="B163" s="1"/>
      <c r="C163" s="1"/>
      <c r="D163" s="1"/>
      <c r="E163" s="1"/>
    </row>
    <row r="164" spans="1:5" x14ac:dyDescent="0.2">
      <c r="A164" s="1"/>
      <c r="B164" s="1"/>
      <c r="C164" s="1"/>
      <c r="D164" s="1"/>
      <c r="E164" s="1"/>
    </row>
    <row r="165" spans="1:5" x14ac:dyDescent="0.2">
      <c r="A165" s="1"/>
      <c r="B165" s="1"/>
      <c r="C165" s="1"/>
      <c r="D165" s="1"/>
      <c r="E165" s="1"/>
    </row>
    <row r="166" spans="1:5" x14ac:dyDescent="0.2">
      <c r="A166" s="1"/>
      <c r="B166" s="1"/>
      <c r="C166" s="1"/>
      <c r="D166" s="1"/>
      <c r="E166" s="1"/>
    </row>
    <row r="167" spans="1:5" x14ac:dyDescent="0.2">
      <c r="A167" s="1"/>
      <c r="B167" s="1"/>
      <c r="C167" s="1"/>
      <c r="D167" s="1"/>
      <c r="E167" s="1"/>
    </row>
    <row r="168" spans="1:5" x14ac:dyDescent="0.2">
      <c r="A168" s="1"/>
      <c r="B168" s="1"/>
      <c r="C168" s="1"/>
      <c r="D168" s="1"/>
      <c r="E168" s="1"/>
    </row>
    <row r="169" spans="1:5" x14ac:dyDescent="0.2">
      <c r="A169" s="1"/>
      <c r="B169" s="1"/>
      <c r="C169" s="1"/>
      <c r="D169" s="1"/>
      <c r="E169" s="1"/>
    </row>
    <row r="170" spans="1:5" x14ac:dyDescent="0.2">
      <c r="A170" s="1"/>
      <c r="B170" s="1"/>
      <c r="C170" s="1"/>
      <c r="D170" s="1"/>
      <c r="E170" s="1"/>
    </row>
    <row r="171" spans="1:5" x14ac:dyDescent="0.2">
      <c r="A171" s="1"/>
      <c r="B171" s="1"/>
      <c r="C171" s="1"/>
      <c r="D171" s="1"/>
      <c r="E171" s="1"/>
    </row>
    <row r="172" spans="1:5" x14ac:dyDescent="0.2">
      <c r="A172" s="1"/>
      <c r="B172" s="1"/>
      <c r="C172" s="1"/>
      <c r="D172" s="1"/>
      <c r="E172" s="1"/>
    </row>
    <row r="173" spans="1:5" x14ac:dyDescent="0.2">
      <c r="A173" s="1"/>
      <c r="B173" s="1"/>
      <c r="C173" s="1"/>
      <c r="D173" s="1"/>
      <c r="E173" s="1"/>
    </row>
    <row r="174" spans="1:5" x14ac:dyDescent="0.2">
      <c r="A174" s="1"/>
      <c r="B174" s="1"/>
      <c r="C174" s="1"/>
      <c r="D174" s="1"/>
      <c r="E174" s="1"/>
    </row>
    <row r="175" spans="1:5" x14ac:dyDescent="0.2">
      <c r="A175" s="1"/>
      <c r="B175" s="1"/>
      <c r="C175" s="1"/>
      <c r="D175" s="1"/>
      <c r="E175" s="1"/>
    </row>
    <row r="176" spans="1:5" x14ac:dyDescent="0.2">
      <c r="A176" s="1"/>
      <c r="B176" s="1"/>
      <c r="C176" s="1"/>
      <c r="D176" s="1"/>
      <c r="E176" s="1"/>
    </row>
    <row r="177" spans="1:5" x14ac:dyDescent="0.2">
      <c r="A177" s="1"/>
      <c r="B177" s="1"/>
      <c r="C177" s="1"/>
      <c r="D177" s="1"/>
      <c r="E177" s="1"/>
    </row>
    <row r="178" spans="1:5" x14ac:dyDescent="0.2">
      <c r="A178" s="1"/>
      <c r="B178" s="1"/>
      <c r="C178" s="1"/>
      <c r="D178" s="1"/>
      <c r="E178" s="1"/>
    </row>
    <row r="179" spans="1:5" x14ac:dyDescent="0.2">
      <c r="A179" s="1"/>
      <c r="B179" s="1"/>
      <c r="C179" s="1"/>
      <c r="D179" s="1"/>
      <c r="E179" s="1"/>
    </row>
    <row r="180" spans="1:5" x14ac:dyDescent="0.2">
      <c r="A180" s="1"/>
      <c r="B180" s="1"/>
      <c r="C180" s="1"/>
      <c r="D180" s="1"/>
      <c r="E180" s="1"/>
    </row>
    <row r="181" spans="1:5" x14ac:dyDescent="0.2">
      <c r="A181" s="1"/>
      <c r="B181" s="1"/>
      <c r="C181" s="1"/>
      <c r="D181" s="1"/>
      <c r="E181" s="1"/>
    </row>
    <row r="182" spans="1:5" x14ac:dyDescent="0.2">
      <c r="A182" s="1"/>
      <c r="B182" s="1"/>
      <c r="C182" s="1"/>
      <c r="D182" s="1"/>
      <c r="E182" s="1"/>
    </row>
    <row r="183" spans="1:5" x14ac:dyDescent="0.2">
      <c r="A183" s="1"/>
      <c r="B183" s="1"/>
      <c r="C183" s="1"/>
      <c r="D183" s="1"/>
      <c r="E183" s="1"/>
    </row>
    <row r="184" spans="1:5" x14ac:dyDescent="0.2">
      <c r="A184" s="1"/>
      <c r="B184" s="1"/>
      <c r="C184" s="1"/>
      <c r="D184" s="1"/>
      <c r="E184" s="1"/>
    </row>
    <row r="185" spans="1:5" x14ac:dyDescent="0.2">
      <c r="A185" s="1"/>
      <c r="B185" s="1"/>
      <c r="C185" s="1"/>
      <c r="D185" s="1"/>
      <c r="E185" s="1"/>
    </row>
    <row r="186" spans="1:5" x14ac:dyDescent="0.2">
      <c r="A186" s="1"/>
      <c r="B186" s="1"/>
      <c r="C186" s="1"/>
      <c r="D186" s="1"/>
      <c r="E186" s="1"/>
    </row>
    <row r="187" spans="1:5" x14ac:dyDescent="0.2">
      <c r="A187" s="1"/>
      <c r="B187" s="1"/>
      <c r="C187" s="1"/>
      <c r="D187" s="1"/>
      <c r="E187" s="1"/>
    </row>
    <row r="188" spans="1:5" x14ac:dyDescent="0.2">
      <c r="A188" s="1"/>
      <c r="B188" s="1"/>
      <c r="C188" s="1"/>
      <c r="D188" s="1"/>
      <c r="E188" s="1"/>
    </row>
    <row r="189" spans="1:5" x14ac:dyDescent="0.2">
      <c r="A189" s="1"/>
      <c r="B189" s="1"/>
      <c r="C189" s="1"/>
      <c r="D189" s="1"/>
      <c r="E189" s="1"/>
    </row>
    <row r="190" spans="1:5" x14ac:dyDescent="0.2">
      <c r="A190" s="1"/>
      <c r="B190" s="1"/>
      <c r="C190" s="1"/>
      <c r="D190" s="1"/>
      <c r="E190" s="1"/>
    </row>
    <row r="191" spans="1:5" x14ac:dyDescent="0.2">
      <c r="A191" s="1"/>
      <c r="B191" s="1"/>
      <c r="C191" s="1"/>
      <c r="D191" s="1"/>
      <c r="E191" s="1"/>
    </row>
    <row r="192" spans="1:5" x14ac:dyDescent="0.2">
      <c r="A192" s="1"/>
      <c r="B192" s="1"/>
      <c r="C192" s="1"/>
      <c r="D192" s="1"/>
      <c r="E192" s="1"/>
    </row>
    <row r="193" spans="1:5" x14ac:dyDescent="0.2">
      <c r="A193" s="1"/>
      <c r="B193" s="1"/>
      <c r="C193" s="1"/>
      <c r="D193" s="1"/>
      <c r="E193" s="1"/>
    </row>
    <row r="194" spans="1:5" x14ac:dyDescent="0.2">
      <c r="A194" s="1"/>
      <c r="B194" s="1"/>
      <c r="C194" s="1"/>
      <c r="D194" s="1"/>
      <c r="E194" s="1"/>
    </row>
    <row r="195" spans="1:5" x14ac:dyDescent="0.2">
      <c r="A195" s="1"/>
      <c r="B195" s="1"/>
      <c r="C195" s="1"/>
      <c r="D195" s="1"/>
      <c r="E195" s="1"/>
    </row>
    <row r="196" spans="1:5" x14ac:dyDescent="0.2">
      <c r="A196" s="1"/>
      <c r="B196" s="1"/>
      <c r="C196" s="1"/>
      <c r="D196" s="1"/>
      <c r="E196" s="1"/>
    </row>
    <row r="197" spans="1:5" x14ac:dyDescent="0.2">
      <c r="A197" s="1"/>
      <c r="B197" s="1"/>
      <c r="C197" s="1"/>
      <c r="D197" s="1"/>
      <c r="E197" s="1"/>
    </row>
    <row r="198" spans="1:5" x14ac:dyDescent="0.2">
      <c r="A198" s="1"/>
      <c r="B198" s="1"/>
      <c r="C198" s="1"/>
      <c r="D198" s="1"/>
      <c r="E198" s="1"/>
    </row>
    <row r="199" spans="1:5" x14ac:dyDescent="0.2">
      <c r="A199" s="1"/>
      <c r="B199" s="1"/>
      <c r="C199" s="1"/>
      <c r="D199" s="1"/>
      <c r="E199" s="1"/>
    </row>
    <row r="200" spans="1:5" x14ac:dyDescent="0.2">
      <c r="A200" s="1"/>
      <c r="B200" s="1"/>
      <c r="C200" s="1"/>
      <c r="D200" s="1"/>
      <c r="E200" s="1"/>
    </row>
    <row r="201" spans="1:5" x14ac:dyDescent="0.2">
      <c r="A201" s="1"/>
      <c r="B201" s="1"/>
      <c r="C201" s="1"/>
      <c r="D201" s="1"/>
      <c r="E201" s="1"/>
    </row>
    <row r="202" spans="1:5" x14ac:dyDescent="0.2">
      <c r="A202" s="1"/>
      <c r="B202" s="1"/>
      <c r="C202" s="1"/>
      <c r="D202" s="1"/>
      <c r="E202" s="1"/>
    </row>
    <row r="203" spans="1:5" x14ac:dyDescent="0.2">
      <c r="A203" s="1"/>
      <c r="B203" s="1"/>
      <c r="C203" s="1"/>
      <c r="D203" s="1"/>
      <c r="E203" s="1"/>
    </row>
    <row r="204" spans="1:5" x14ac:dyDescent="0.2">
      <c r="A204" s="1"/>
      <c r="B204" s="1"/>
      <c r="C204" s="1"/>
      <c r="D204" s="1"/>
      <c r="E204" s="1"/>
    </row>
    <row r="205" spans="1:5" x14ac:dyDescent="0.2">
      <c r="A205" s="1"/>
      <c r="B205" s="1"/>
      <c r="C205" s="1"/>
      <c r="D205" s="1"/>
      <c r="E205" s="1"/>
    </row>
    <row r="206" spans="1:5" x14ac:dyDescent="0.2">
      <c r="A206" s="1"/>
      <c r="B206" s="1"/>
      <c r="C206" s="1"/>
      <c r="D206" s="1"/>
      <c r="E206" s="1"/>
    </row>
    <row r="207" spans="1:5" x14ac:dyDescent="0.2">
      <c r="A207" s="1"/>
      <c r="B207" s="1"/>
      <c r="C207" s="1"/>
      <c r="D207" s="1"/>
      <c r="E207" s="1"/>
    </row>
    <row r="208" spans="1:5" x14ac:dyDescent="0.2">
      <c r="A208" s="1"/>
      <c r="B208" s="1"/>
      <c r="C208" s="1"/>
      <c r="D208" s="1"/>
      <c r="E208" s="1"/>
    </row>
    <row r="209" spans="1:5" x14ac:dyDescent="0.2">
      <c r="A209" s="1"/>
      <c r="B209" s="1"/>
      <c r="C209" s="1"/>
      <c r="D209" s="1"/>
      <c r="E209" s="1"/>
    </row>
    <row r="210" spans="1:5" x14ac:dyDescent="0.2">
      <c r="A210" s="1"/>
      <c r="B210" s="1"/>
      <c r="C210" s="1"/>
      <c r="D210" s="1"/>
      <c r="E210" s="1"/>
    </row>
    <row r="211" spans="1:5" x14ac:dyDescent="0.2">
      <c r="A211" s="1"/>
      <c r="B211" s="1"/>
      <c r="C211" s="1"/>
      <c r="D211" s="1"/>
      <c r="E211" s="1"/>
    </row>
    <row r="212" spans="1:5" x14ac:dyDescent="0.2">
      <c r="A212" s="1"/>
      <c r="B212" s="1"/>
      <c r="C212" s="1"/>
      <c r="D212" s="1"/>
      <c r="E212" s="1"/>
    </row>
    <row r="213" spans="1:5" x14ac:dyDescent="0.2">
      <c r="A213" s="1"/>
      <c r="B213" s="1"/>
      <c r="C213" s="1"/>
      <c r="D213" s="1"/>
      <c r="E213" s="1"/>
    </row>
    <row r="214" spans="1:5" x14ac:dyDescent="0.2">
      <c r="A214" s="1"/>
      <c r="B214" s="1"/>
      <c r="C214" s="1"/>
      <c r="D214" s="1"/>
      <c r="E214" s="1"/>
    </row>
    <row r="215" spans="1:5" x14ac:dyDescent="0.2">
      <c r="A215" s="1"/>
      <c r="B215" s="1"/>
      <c r="C215" s="1"/>
      <c r="D215" s="1"/>
      <c r="E215" s="1"/>
    </row>
    <row r="216" spans="1:5" x14ac:dyDescent="0.2">
      <c r="A216" s="1"/>
      <c r="B216" s="1"/>
      <c r="C216" s="1"/>
      <c r="D216" s="1"/>
      <c r="E216" s="1"/>
    </row>
    <row r="217" spans="1:5" x14ac:dyDescent="0.2">
      <c r="A217" s="1"/>
      <c r="B217" s="1"/>
      <c r="C217" s="1"/>
      <c r="D217" s="1"/>
      <c r="E217" s="1"/>
    </row>
    <row r="218" spans="1:5" x14ac:dyDescent="0.2">
      <c r="A218" s="1"/>
      <c r="B218" s="1"/>
      <c r="C218" s="1"/>
      <c r="D218" s="1"/>
      <c r="E218" s="1"/>
    </row>
    <row r="219" spans="1:5" x14ac:dyDescent="0.2">
      <c r="A219" s="1"/>
      <c r="B219" s="1"/>
      <c r="C219" s="1"/>
      <c r="D219" s="1"/>
      <c r="E219" s="1"/>
    </row>
    <row r="220" spans="1:5" x14ac:dyDescent="0.2">
      <c r="A220" s="1"/>
      <c r="B220" s="1"/>
      <c r="C220" s="1"/>
      <c r="D220" s="1"/>
      <c r="E220" s="1"/>
    </row>
    <row r="221" spans="1:5" x14ac:dyDescent="0.2">
      <c r="A221" s="1"/>
      <c r="B221" s="1"/>
      <c r="C221" s="1"/>
      <c r="D221" s="1"/>
      <c r="E221" s="1"/>
    </row>
    <row r="222" spans="1:5" x14ac:dyDescent="0.2">
      <c r="A222" s="1"/>
      <c r="B222" s="1"/>
      <c r="C222" s="1"/>
      <c r="D222" s="1"/>
      <c r="E222" s="1"/>
    </row>
    <row r="223" spans="1:5" x14ac:dyDescent="0.2">
      <c r="A223" s="1"/>
      <c r="B223" s="1"/>
      <c r="C223" s="1"/>
      <c r="D223" s="1"/>
      <c r="E223" s="1"/>
    </row>
    <row r="224" spans="1:5" x14ac:dyDescent="0.2">
      <c r="A224" s="1"/>
      <c r="B224" s="1"/>
      <c r="C224" s="1"/>
      <c r="D224" s="1"/>
      <c r="E224" s="1"/>
    </row>
    <row r="225" spans="1:5" x14ac:dyDescent="0.2">
      <c r="A225" s="1"/>
      <c r="B225" s="1"/>
      <c r="C225" s="1"/>
      <c r="D225" s="1"/>
      <c r="E225" s="1"/>
    </row>
    <row r="226" spans="1:5" x14ac:dyDescent="0.2">
      <c r="A226" s="1"/>
      <c r="B226" s="1"/>
      <c r="C226" s="1"/>
      <c r="D226" s="1"/>
      <c r="E226" s="1"/>
    </row>
    <row r="227" spans="1:5" x14ac:dyDescent="0.2">
      <c r="A227" s="1"/>
      <c r="B227" s="1"/>
      <c r="C227" s="1"/>
      <c r="D227" s="1"/>
      <c r="E227" s="1"/>
    </row>
    <row r="228" spans="1:5" x14ac:dyDescent="0.2">
      <c r="A228" s="1"/>
      <c r="B228" s="1"/>
      <c r="C228" s="1"/>
      <c r="D228" s="1"/>
      <c r="E228" s="1"/>
    </row>
    <row r="229" spans="1:5" x14ac:dyDescent="0.2">
      <c r="A229" s="1"/>
      <c r="B229" s="1"/>
      <c r="C229" s="1"/>
      <c r="D229" s="1"/>
      <c r="E229" s="1"/>
    </row>
    <row r="230" spans="1:5" x14ac:dyDescent="0.2">
      <c r="A230" s="1"/>
      <c r="B230" s="1"/>
      <c r="C230" s="1"/>
      <c r="D230" s="1"/>
      <c r="E230" s="1"/>
    </row>
    <row r="231" spans="1:5" x14ac:dyDescent="0.2">
      <c r="A231" s="1"/>
      <c r="B231" s="1"/>
      <c r="C231" s="1"/>
      <c r="D231" s="1"/>
      <c r="E231" s="1"/>
    </row>
    <row r="232" spans="1:5" x14ac:dyDescent="0.2">
      <c r="A232" s="1"/>
      <c r="B232" s="1"/>
      <c r="C232" s="1"/>
      <c r="D232" s="1"/>
      <c r="E232" s="1"/>
    </row>
    <row r="233" spans="1:5" x14ac:dyDescent="0.2">
      <c r="A233" s="1"/>
      <c r="B233" s="1"/>
      <c r="C233" s="1"/>
      <c r="D233" s="1"/>
      <c r="E233" s="1"/>
    </row>
    <row r="234" spans="1:5" x14ac:dyDescent="0.2">
      <c r="A234" s="1"/>
      <c r="B234" s="1"/>
      <c r="C234" s="1"/>
      <c r="D234" s="1"/>
      <c r="E234" s="1"/>
    </row>
    <row r="235" spans="1:5" x14ac:dyDescent="0.2">
      <c r="A235" s="1"/>
      <c r="B235" s="1"/>
      <c r="C235" s="1"/>
      <c r="D235" s="1"/>
      <c r="E235" s="1"/>
    </row>
    <row r="236" spans="1:5" x14ac:dyDescent="0.2">
      <c r="A236" s="1"/>
      <c r="B236" s="1"/>
      <c r="C236" s="1"/>
      <c r="D236" s="1"/>
      <c r="E236" s="1"/>
    </row>
    <row r="237" spans="1:5" x14ac:dyDescent="0.2">
      <c r="A237" s="1"/>
      <c r="B237" s="1"/>
      <c r="C237" s="1"/>
      <c r="D237" s="1"/>
      <c r="E237" s="1"/>
    </row>
    <row r="238" spans="1:5" x14ac:dyDescent="0.2">
      <c r="A238" s="1"/>
      <c r="B238" s="1"/>
      <c r="C238" s="1"/>
      <c r="D238" s="1"/>
      <c r="E238" s="1"/>
    </row>
    <row r="239" spans="1:5" x14ac:dyDescent="0.2">
      <c r="A239" s="1"/>
      <c r="B239" s="1"/>
      <c r="C239" s="1"/>
      <c r="D239" s="1"/>
      <c r="E239" s="1"/>
    </row>
    <row r="240" spans="1:5" x14ac:dyDescent="0.2">
      <c r="A240" s="1"/>
      <c r="B240" s="1"/>
      <c r="C240" s="1"/>
      <c r="D240" s="1"/>
      <c r="E240" s="1"/>
    </row>
    <row r="241" spans="1:5" x14ac:dyDescent="0.2">
      <c r="A241" s="1"/>
      <c r="B241" s="1"/>
      <c r="C241" s="1"/>
      <c r="D241" s="1"/>
      <c r="E241" s="1"/>
    </row>
    <row r="242" spans="1:5" x14ac:dyDescent="0.2">
      <c r="A242" s="1"/>
      <c r="B242" s="1"/>
      <c r="C242" s="1"/>
      <c r="D242" s="1"/>
      <c r="E242" s="1"/>
    </row>
    <row r="243" spans="1:5" x14ac:dyDescent="0.2">
      <c r="A243" s="1"/>
      <c r="B243" s="1"/>
      <c r="C243" s="1"/>
      <c r="D243" s="1"/>
      <c r="E243" s="1"/>
    </row>
    <row r="244" spans="1:5" x14ac:dyDescent="0.2">
      <c r="A244" s="1"/>
      <c r="B244" s="1"/>
      <c r="C244" s="1"/>
      <c r="D244" s="1"/>
      <c r="E244" s="1"/>
    </row>
    <row r="245" spans="1:5" x14ac:dyDescent="0.2">
      <c r="A245" s="1"/>
      <c r="B245" s="1"/>
      <c r="C245" s="1"/>
      <c r="D245" s="1"/>
      <c r="E245" s="1"/>
    </row>
    <row r="246" spans="1:5" x14ac:dyDescent="0.2">
      <c r="A246" s="1"/>
      <c r="B246" s="1"/>
      <c r="C246" s="1"/>
      <c r="D246" s="1"/>
      <c r="E246" s="1"/>
    </row>
    <row r="247" spans="1:5" x14ac:dyDescent="0.2">
      <c r="A247" s="1"/>
      <c r="B247" s="1"/>
      <c r="C247" s="1"/>
      <c r="D247" s="1"/>
      <c r="E247" s="1"/>
    </row>
    <row r="248" spans="1:5" x14ac:dyDescent="0.2">
      <c r="A248" s="1"/>
      <c r="B248" s="1"/>
      <c r="C248" s="1"/>
      <c r="D248" s="1"/>
      <c r="E248" s="1"/>
    </row>
    <row r="249" spans="1:5" x14ac:dyDescent="0.2">
      <c r="A249" s="1"/>
      <c r="B249" s="1"/>
      <c r="C249" s="1"/>
      <c r="D249" s="1"/>
      <c r="E249" s="1"/>
    </row>
    <row r="250" spans="1:5" x14ac:dyDescent="0.2">
      <c r="A250" s="1"/>
      <c r="B250" s="1"/>
      <c r="C250" s="1"/>
      <c r="D250" s="1"/>
      <c r="E250" s="1"/>
    </row>
    <row r="251" spans="1:5" x14ac:dyDescent="0.2">
      <c r="A251" s="1"/>
      <c r="B251" s="1"/>
      <c r="C251" s="1"/>
      <c r="D251" s="1"/>
      <c r="E251" s="1"/>
    </row>
    <row r="252" spans="1:5" x14ac:dyDescent="0.2">
      <c r="A252" s="1"/>
      <c r="B252" s="1"/>
      <c r="C252" s="1"/>
      <c r="D252" s="1"/>
      <c r="E252" s="1"/>
    </row>
    <row r="253" spans="1:5" x14ac:dyDescent="0.2">
      <c r="A253" s="1"/>
      <c r="B253" s="1"/>
      <c r="C253" s="1"/>
      <c r="D253" s="1"/>
      <c r="E253" s="1"/>
    </row>
    <row r="254" spans="1:5" x14ac:dyDescent="0.2">
      <c r="A254" s="1"/>
      <c r="B254" s="1"/>
      <c r="C254" s="1"/>
      <c r="D254" s="1"/>
      <c r="E254" s="1"/>
    </row>
    <row r="255" spans="1:5" x14ac:dyDescent="0.2">
      <c r="A255" s="1"/>
      <c r="B255" s="1"/>
      <c r="C255" s="1"/>
      <c r="D255" s="1"/>
      <c r="E255" s="1"/>
    </row>
    <row r="256" spans="1:5" x14ac:dyDescent="0.2">
      <c r="A256" s="1"/>
      <c r="B256" s="1"/>
      <c r="C256" s="1"/>
      <c r="D256" s="1"/>
      <c r="E256" s="1"/>
    </row>
    <row r="257" spans="1:5" x14ac:dyDescent="0.2">
      <c r="A257" s="1"/>
      <c r="B257" s="1"/>
      <c r="C257" s="1"/>
      <c r="D257" s="1"/>
      <c r="E257" s="1"/>
    </row>
    <row r="258" spans="1:5" x14ac:dyDescent="0.2">
      <c r="A258" s="1"/>
      <c r="B258" s="1"/>
      <c r="C258" s="1"/>
      <c r="D258" s="1"/>
      <c r="E258" s="1"/>
    </row>
    <row r="259" spans="1:5" x14ac:dyDescent="0.2">
      <c r="A259" s="1"/>
      <c r="B259" s="1"/>
      <c r="C259" s="1"/>
      <c r="D259" s="1"/>
      <c r="E259" s="1"/>
    </row>
    <row r="260" spans="1:5" x14ac:dyDescent="0.2">
      <c r="A260" s="1"/>
      <c r="B260" s="1"/>
      <c r="C260" s="1"/>
      <c r="D260" s="1"/>
      <c r="E260" s="1"/>
    </row>
    <row r="261" spans="1:5" x14ac:dyDescent="0.2">
      <c r="A261" s="1"/>
      <c r="B261" s="1"/>
      <c r="C261" s="1"/>
      <c r="D261" s="1"/>
      <c r="E261" s="1"/>
    </row>
    <row r="262" spans="1:5" x14ac:dyDescent="0.2">
      <c r="A262" s="1"/>
      <c r="B262" s="1"/>
      <c r="C262" s="1"/>
      <c r="D262" s="1"/>
      <c r="E262" s="1"/>
    </row>
    <row r="263" spans="1:5" x14ac:dyDescent="0.2">
      <c r="A263" s="1"/>
      <c r="B263" s="1"/>
      <c r="C263" s="1"/>
      <c r="D263" s="1"/>
      <c r="E263" s="1"/>
    </row>
    <row r="264" spans="1:5" x14ac:dyDescent="0.2">
      <c r="A264" s="1"/>
      <c r="B264" s="1"/>
      <c r="C264" s="1"/>
      <c r="D264" s="1"/>
      <c r="E264" s="1"/>
    </row>
    <row r="265" spans="1:5" x14ac:dyDescent="0.2">
      <c r="A265" s="1"/>
      <c r="B265" s="1"/>
      <c r="C265" s="1"/>
      <c r="D265" s="1"/>
      <c r="E265" s="1"/>
    </row>
    <row r="266" spans="1:5" x14ac:dyDescent="0.2">
      <c r="A266" s="1"/>
      <c r="B266" s="1"/>
      <c r="C266" s="1"/>
      <c r="D266" s="1"/>
      <c r="E266" s="1"/>
    </row>
    <row r="267" spans="1:5" x14ac:dyDescent="0.2">
      <c r="A267" s="1"/>
      <c r="B267" s="1"/>
      <c r="C267" s="1"/>
      <c r="D267" s="1"/>
      <c r="E267" s="1"/>
    </row>
    <row r="268" spans="1:5" x14ac:dyDescent="0.2">
      <c r="A268" s="1"/>
      <c r="B268" s="1"/>
      <c r="C268" s="1"/>
      <c r="D268" s="1"/>
      <c r="E268" s="1"/>
    </row>
    <row r="269" spans="1:5" x14ac:dyDescent="0.2">
      <c r="A269" s="1"/>
      <c r="B269" s="1"/>
      <c r="C269" s="1"/>
      <c r="D269" s="1"/>
      <c r="E269" s="1"/>
    </row>
    <row r="270" spans="1:5" x14ac:dyDescent="0.2">
      <c r="A270" s="1"/>
      <c r="B270" s="1"/>
      <c r="C270" s="1"/>
      <c r="D270" s="1"/>
      <c r="E270" s="1"/>
    </row>
    <row r="271" spans="1:5" x14ac:dyDescent="0.2">
      <c r="A271" s="1"/>
      <c r="B271" s="1"/>
      <c r="C271" s="1"/>
      <c r="D271" s="1"/>
      <c r="E271" s="1"/>
    </row>
    <row r="272" spans="1:5" x14ac:dyDescent="0.2">
      <c r="A272" s="1"/>
      <c r="B272" s="1"/>
      <c r="C272" s="1"/>
      <c r="D272" s="1"/>
      <c r="E272" s="1"/>
    </row>
    <row r="273" spans="1:5" x14ac:dyDescent="0.2">
      <c r="A273" s="1"/>
      <c r="B273" s="1"/>
      <c r="C273" s="1"/>
      <c r="D273" s="1"/>
      <c r="E273" s="1"/>
    </row>
    <row r="274" spans="1:5" x14ac:dyDescent="0.2">
      <c r="A274" s="1"/>
      <c r="B274" s="1"/>
      <c r="C274" s="1"/>
      <c r="D274" s="1"/>
      <c r="E274" s="1"/>
    </row>
    <row r="275" spans="1:5" x14ac:dyDescent="0.2">
      <c r="A275" s="1"/>
      <c r="B275" s="1"/>
      <c r="C275" s="1"/>
      <c r="D275" s="1"/>
      <c r="E275" s="1"/>
    </row>
    <row r="276" spans="1:5" x14ac:dyDescent="0.2">
      <c r="A276" s="1"/>
      <c r="B276" s="1"/>
      <c r="C276" s="1"/>
      <c r="D276" s="1"/>
      <c r="E276" s="1"/>
    </row>
    <row r="277" spans="1:5" x14ac:dyDescent="0.2">
      <c r="A277" s="1"/>
      <c r="B277" s="1"/>
      <c r="C277" s="1"/>
      <c r="D277" s="1"/>
      <c r="E277" s="1"/>
    </row>
    <row r="278" spans="1:5" x14ac:dyDescent="0.2">
      <c r="A278" s="1"/>
      <c r="B278" s="1"/>
      <c r="C278" s="1"/>
      <c r="D278" s="1"/>
      <c r="E278" s="1"/>
    </row>
    <row r="279" spans="1:5" x14ac:dyDescent="0.2">
      <c r="A279" s="1"/>
      <c r="B279" s="1"/>
      <c r="C279" s="1"/>
      <c r="D279" s="1"/>
      <c r="E279" s="1"/>
    </row>
    <row r="280" spans="1:5" x14ac:dyDescent="0.2">
      <c r="A280" s="1"/>
      <c r="B280" s="1"/>
      <c r="C280" s="1"/>
      <c r="D280" s="1"/>
      <c r="E280" s="1"/>
    </row>
    <row r="281" spans="1:5" x14ac:dyDescent="0.2">
      <c r="A281" s="1"/>
      <c r="B281" s="1"/>
      <c r="C281" s="1"/>
      <c r="D281" s="1"/>
      <c r="E281" s="1"/>
    </row>
    <row r="282" spans="1:5" x14ac:dyDescent="0.2">
      <c r="A282" s="1"/>
      <c r="B282" s="1"/>
      <c r="C282" s="1"/>
      <c r="D282" s="1"/>
      <c r="E282" s="1"/>
    </row>
    <row r="283" spans="1:5" x14ac:dyDescent="0.2">
      <c r="A283" s="1"/>
      <c r="B283" s="1"/>
      <c r="C283" s="1"/>
      <c r="D283" s="1"/>
      <c r="E283" s="1"/>
    </row>
  </sheetData>
  <mergeCells count="6">
    <mergeCell ref="C33:L34"/>
    <mergeCell ref="E6:F6"/>
    <mergeCell ref="A5:C6"/>
    <mergeCell ref="A1:H1"/>
    <mergeCell ref="A2:H2"/>
    <mergeCell ref="A3:H3"/>
  </mergeCells>
  <phoneticPr fontId="0" type="noConversion"/>
  <pageMargins left="0.35" right="0.26" top="0.53" bottom="0.48" header="0.5" footer="0.5"/>
  <pageSetup scale="5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M21"/>
  <sheetViews>
    <sheetView zoomScale="60" zoomScaleNormal="60" workbookViewId="0">
      <selection activeCell="H28" sqref="H28"/>
    </sheetView>
  </sheetViews>
  <sheetFormatPr defaultColWidth="8.7109375" defaultRowHeight="18" x14ac:dyDescent="0.2"/>
  <cols>
    <col min="1" max="1" width="3.85546875" style="630" customWidth="1"/>
    <col min="2" max="2" width="1.140625" style="630" customWidth="1"/>
    <col min="3" max="3" width="48" style="630" customWidth="1"/>
    <col min="4" max="4" width="7.140625" style="629" customWidth="1"/>
    <col min="5" max="5" width="67.85546875" style="630" customWidth="1"/>
    <col min="6" max="9" width="8.7109375" style="630"/>
    <col min="10" max="10" width="29.7109375" style="630" customWidth="1"/>
    <col min="11" max="12" width="8.7109375" style="630"/>
    <col min="13" max="13" width="9.85546875" style="630" bestFit="1" customWidth="1"/>
    <col min="14" max="16384" width="8.7109375" style="630"/>
  </cols>
  <sheetData>
    <row r="1" spans="1:13" ht="39.950000000000003" customHeight="1" x14ac:dyDescent="0.2">
      <c r="A1" s="627">
        <v>1</v>
      </c>
      <c r="B1" s="627"/>
      <c r="C1" s="628" t="s">
        <v>276</v>
      </c>
      <c r="D1" s="635" t="s">
        <v>343</v>
      </c>
      <c r="E1" s="640" t="s">
        <v>352</v>
      </c>
      <c r="F1" s="636"/>
      <c r="G1" s="636"/>
      <c r="H1" s="636"/>
      <c r="I1" s="636"/>
      <c r="J1" s="636"/>
    </row>
    <row r="2" spans="1:13" ht="39.950000000000003" customHeight="1" x14ac:dyDescent="0.2">
      <c r="A2" s="631"/>
      <c r="B2" s="631"/>
      <c r="C2" s="632" t="s">
        <v>15</v>
      </c>
      <c r="E2" s="641"/>
    </row>
    <row r="3" spans="1:13" ht="39.950000000000003" customHeight="1" x14ac:dyDescent="0.2">
      <c r="A3" s="627">
        <v>2</v>
      </c>
      <c r="B3" s="627"/>
      <c r="C3" s="628" t="s">
        <v>37</v>
      </c>
      <c r="D3" s="635" t="s">
        <v>343</v>
      </c>
      <c r="E3" s="640" t="s">
        <v>344</v>
      </c>
      <c r="F3" s="636"/>
      <c r="G3" s="636"/>
      <c r="H3" s="636"/>
      <c r="I3" s="636"/>
      <c r="J3" s="636"/>
    </row>
    <row r="4" spans="1:13" ht="39.950000000000003" customHeight="1" x14ac:dyDescent="0.2">
      <c r="A4" s="627">
        <v>3</v>
      </c>
      <c r="B4" s="627"/>
      <c r="C4" s="628" t="s">
        <v>16</v>
      </c>
      <c r="D4" s="635" t="s">
        <v>343</v>
      </c>
      <c r="E4" s="640" t="s">
        <v>344</v>
      </c>
      <c r="F4" s="636"/>
      <c r="G4" s="636"/>
      <c r="H4" s="636"/>
      <c r="I4" s="636"/>
      <c r="J4" s="636"/>
    </row>
    <row r="5" spans="1:13" ht="39.950000000000003" customHeight="1" x14ac:dyDescent="0.2">
      <c r="A5" s="627">
        <v>4</v>
      </c>
      <c r="B5" s="627"/>
      <c r="C5" s="628" t="s">
        <v>324</v>
      </c>
      <c r="D5" s="635" t="s">
        <v>343</v>
      </c>
      <c r="E5" s="640" t="s">
        <v>351</v>
      </c>
      <c r="F5" s="636"/>
      <c r="G5" s="636"/>
      <c r="H5" s="636"/>
      <c r="I5" s="636"/>
      <c r="J5" s="636"/>
    </row>
    <row r="6" spans="1:13" ht="39.950000000000003" customHeight="1" x14ac:dyDescent="0.2">
      <c r="A6" s="627">
        <v>5</v>
      </c>
      <c r="B6" s="627"/>
      <c r="C6" s="628" t="s">
        <v>325</v>
      </c>
      <c r="D6" s="635" t="s">
        <v>343</v>
      </c>
      <c r="E6" s="640" t="s">
        <v>350</v>
      </c>
      <c r="F6" s="636"/>
      <c r="G6" s="636"/>
      <c r="H6" s="636"/>
      <c r="I6" s="636"/>
      <c r="J6" s="636"/>
    </row>
    <row r="7" spans="1:13" ht="39.950000000000003" customHeight="1" x14ac:dyDescent="0.2">
      <c r="A7" s="631"/>
      <c r="B7" s="631"/>
      <c r="C7" s="632" t="s">
        <v>18</v>
      </c>
      <c r="E7" s="641"/>
    </row>
    <row r="8" spans="1:13" ht="39.950000000000003" customHeight="1" x14ac:dyDescent="0.2">
      <c r="A8" s="627">
        <v>6</v>
      </c>
      <c r="B8" s="627"/>
      <c r="C8" s="628" t="s">
        <v>326</v>
      </c>
      <c r="D8" s="635" t="s">
        <v>343</v>
      </c>
      <c r="E8" s="641" t="s">
        <v>349</v>
      </c>
    </row>
    <row r="9" spans="1:13" ht="39.950000000000003" customHeight="1" x14ac:dyDescent="0.2">
      <c r="A9" s="627">
        <v>7</v>
      </c>
      <c r="B9" s="627"/>
      <c r="C9" s="628" t="s">
        <v>327</v>
      </c>
      <c r="D9" s="635" t="s">
        <v>343</v>
      </c>
      <c r="E9" s="640" t="s">
        <v>353</v>
      </c>
      <c r="F9" s="636"/>
      <c r="G9" s="636"/>
      <c r="H9" s="636"/>
      <c r="I9" s="636"/>
      <c r="J9" s="636"/>
    </row>
    <row r="10" spans="1:13" ht="39.950000000000003" customHeight="1" x14ac:dyDescent="0.2">
      <c r="A10" s="627">
        <v>8</v>
      </c>
      <c r="B10" s="627"/>
      <c r="C10" s="628" t="s">
        <v>18</v>
      </c>
      <c r="D10" s="635" t="s">
        <v>343</v>
      </c>
      <c r="E10" s="640" t="s">
        <v>348</v>
      </c>
      <c r="F10" s="636"/>
      <c r="G10" s="636"/>
      <c r="H10" s="636"/>
      <c r="I10" s="636"/>
      <c r="J10" s="636"/>
    </row>
    <row r="11" spans="1:13" ht="39.950000000000003" customHeight="1" x14ac:dyDescent="0.2">
      <c r="A11" s="627">
        <v>9</v>
      </c>
      <c r="B11" s="627"/>
      <c r="C11" s="628" t="s">
        <v>328</v>
      </c>
      <c r="D11" s="635" t="s">
        <v>343</v>
      </c>
      <c r="E11" s="640" t="s">
        <v>347</v>
      </c>
      <c r="F11" s="636"/>
      <c r="G11" s="636"/>
      <c r="H11" s="636"/>
      <c r="I11" s="636"/>
      <c r="J11" s="636"/>
      <c r="M11" s="634"/>
    </row>
    <row r="12" spans="1:13" ht="39.950000000000003" customHeight="1" x14ac:dyDescent="0.2">
      <c r="A12" s="631" t="s">
        <v>20</v>
      </c>
      <c r="B12" s="631"/>
      <c r="C12" s="632" t="s">
        <v>21</v>
      </c>
      <c r="E12" s="641"/>
    </row>
    <row r="13" spans="1:13" ht="39.950000000000003" customHeight="1" x14ac:dyDescent="0.2">
      <c r="A13" s="627">
        <v>10</v>
      </c>
      <c r="B13" s="627"/>
      <c r="C13" s="628" t="s">
        <v>40</v>
      </c>
      <c r="D13" s="635" t="s">
        <v>343</v>
      </c>
      <c r="E13" s="641" t="s">
        <v>344</v>
      </c>
    </row>
    <row r="14" spans="1:13" ht="39.950000000000003" customHeight="1" x14ac:dyDescent="0.2">
      <c r="A14" s="627">
        <v>11</v>
      </c>
      <c r="B14" s="627"/>
      <c r="C14" s="628" t="s">
        <v>41</v>
      </c>
      <c r="D14" s="635" t="s">
        <v>343</v>
      </c>
      <c r="E14" s="641" t="s">
        <v>344</v>
      </c>
    </row>
    <row r="15" spans="1:13" ht="39.950000000000003" customHeight="1" x14ac:dyDescent="0.2">
      <c r="A15" s="627">
        <v>12</v>
      </c>
      <c r="B15" s="627"/>
      <c r="C15" s="628" t="s">
        <v>329</v>
      </c>
      <c r="D15" s="635" t="s">
        <v>343</v>
      </c>
      <c r="E15" s="640" t="s">
        <v>346</v>
      </c>
      <c r="F15" s="636"/>
      <c r="G15" s="636"/>
      <c r="H15" s="636"/>
      <c r="I15" s="636"/>
      <c r="J15" s="636"/>
    </row>
    <row r="16" spans="1:13" ht="39.950000000000003" customHeight="1" x14ac:dyDescent="0.2">
      <c r="A16" s="627">
        <v>13</v>
      </c>
      <c r="B16" s="627"/>
      <c r="C16" s="628" t="s">
        <v>319</v>
      </c>
      <c r="D16" s="635" t="s">
        <v>343</v>
      </c>
      <c r="E16" s="642" t="s">
        <v>345</v>
      </c>
      <c r="F16" s="637"/>
      <c r="G16" s="637"/>
      <c r="H16" s="637"/>
      <c r="I16" s="637"/>
      <c r="J16" s="637"/>
    </row>
    <row r="17" spans="1:10" ht="39.950000000000003" customHeight="1" x14ac:dyDescent="0.2">
      <c r="A17" s="627">
        <v>14</v>
      </c>
      <c r="B17" s="627"/>
      <c r="C17" s="628" t="s">
        <v>399</v>
      </c>
      <c r="D17" s="635" t="s">
        <v>343</v>
      </c>
      <c r="E17" s="642" t="s">
        <v>415</v>
      </c>
      <c r="F17" s="637"/>
      <c r="G17" s="637"/>
      <c r="H17" s="637"/>
      <c r="I17" s="637"/>
      <c r="J17" s="637"/>
    </row>
    <row r="18" spans="1:10" ht="12.95" hidden="1" customHeight="1" x14ac:dyDescent="0.2">
      <c r="A18" s="638">
        <v>14</v>
      </c>
      <c r="B18" s="638"/>
      <c r="C18" s="639" t="s">
        <v>42</v>
      </c>
    </row>
    <row r="19" spans="1:10" ht="12.95" hidden="1" customHeight="1" x14ac:dyDescent="0.2">
      <c r="A19" s="638"/>
      <c r="B19" s="638"/>
      <c r="C19" s="639"/>
    </row>
    <row r="20" spans="1:10" ht="12.95" hidden="1" customHeight="1" x14ac:dyDescent="0.2">
      <c r="A20" s="638">
        <v>15</v>
      </c>
      <c r="B20" s="638"/>
      <c r="C20" s="639" t="s">
        <v>59</v>
      </c>
    </row>
    <row r="21" spans="1:10" ht="18.75" x14ac:dyDescent="0.2">
      <c r="A21" s="636"/>
      <c r="B21" s="636"/>
      <c r="C21" s="636"/>
    </row>
  </sheetData>
  <pageMargins left="0.7" right="0.7" top="0.75" bottom="0.75" header="0.3" footer="0.3"/>
  <pageSetup scale="72" fitToHeight="0" orientation="portrait" r:id="rId1"/>
  <headerFooter>
    <oddHeader>&amp;LMarketing Policy Guide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10</vt:i4>
      </vt:variant>
      <vt:variant>
        <vt:lpstr>Named Ranges</vt:lpstr>
      </vt:variant>
      <vt:variant>
        <vt:i4>8</vt:i4>
      </vt:variant>
    </vt:vector>
  </HeadingPairs>
  <TitlesOfParts>
    <vt:vector size="33" baseType="lpstr">
      <vt:lpstr>Cycle Report</vt:lpstr>
      <vt:lpstr>Acreage</vt:lpstr>
      <vt:lpstr>Yield</vt:lpstr>
      <vt:lpstr>Estimate</vt:lpstr>
      <vt:lpstr>NON US Production</vt:lpstr>
      <vt:lpstr>Sales</vt:lpstr>
      <vt:lpstr>Total Available Supply and Sale</vt:lpstr>
      <vt:lpstr>Marketing Policy</vt:lpstr>
      <vt:lpstr>Marketing Policy Guide Sheet</vt:lpstr>
      <vt:lpstr>Calculating Allotment Percent</vt:lpstr>
      <vt:lpstr>Allotment Percent Guide Sheet</vt:lpstr>
      <vt:lpstr>PA Impact</vt:lpstr>
      <vt:lpstr>HW Impact</vt:lpstr>
      <vt:lpstr>Results of Allotment</vt:lpstr>
      <vt:lpstr>Calculating HW</vt:lpstr>
      <vt:lpstr>Acreage Chart</vt:lpstr>
      <vt:lpstr>Yield Chart</vt:lpstr>
      <vt:lpstr>Canada Production Chart</vt:lpstr>
      <vt:lpstr>USDA Purchases Chart</vt:lpstr>
      <vt:lpstr>Fresh Sales Chart</vt:lpstr>
      <vt:lpstr>Processed Sales Chart</vt:lpstr>
      <vt:lpstr>Concentrate Sales Chart</vt:lpstr>
      <vt:lpstr>Tot. Supply vs Tot. Sales Chart</vt:lpstr>
      <vt:lpstr>Carryin Inventories Chart</vt:lpstr>
      <vt:lpstr>CarryOut as % Sales Chart</vt:lpstr>
      <vt:lpstr>'Allotment Percent Guide Sheet'!Print_Area</vt:lpstr>
      <vt:lpstr>'Calculating Allotment Percent'!Print_Area</vt:lpstr>
      <vt:lpstr>'Cycle Report'!Print_Area</vt:lpstr>
      <vt:lpstr>Estimate!Print_Area</vt:lpstr>
      <vt:lpstr>'Marketing Policy'!Print_Area</vt:lpstr>
      <vt:lpstr>'Marketing Policy Guide Sheet'!Print_Area</vt:lpstr>
      <vt:lpstr>Sales!Print_Area</vt:lpstr>
      <vt:lpstr>'Total Available Supply and Sale'!Print_Area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Gateway Client</dc:creator>
  <cp:lastModifiedBy>Parker Mauck</cp:lastModifiedBy>
  <cp:lastPrinted>2019-08-20T20:24:05Z</cp:lastPrinted>
  <dcterms:created xsi:type="dcterms:W3CDTF">2002-10-28T16:01:26Z</dcterms:created>
  <dcterms:modified xsi:type="dcterms:W3CDTF">2019-08-20T20:33:12Z</dcterms:modified>
</cp:coreProperties>
</file>